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tuff I'm working on\Students&amp;pdocs\Sabrina\"/>
    </mc:Choice>
  </mc:AlternateContent>
  <xr:revisionPtr revIDLastSave="0" documentId="13_ncr:1_{A8F467D8-7ACE-4B82-B6A7-C52EB0B7CB4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hick ringing data" sheetId="1" r:id="rId1"/>
  </sheets>
  <definedNames>
    <definedName name="_xlnm._FilterDatabase" localSheetId="0" hidden="1">'Chick ringing data'!$A$1:$T$165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5" i="1" l="1"/>
  <c r="T164" i="1"/>
  <c r="T163" i="1"/>
  <c r="P163" i="1"/>
  <c r="P164" i="1"/>
  <c r="P165" i="1"/>
  <c r="O165" i="1"/>
  <c r="O164" i="1"/>
  <c r="O163" i="1"/>
  <c r="P162" i="1"/>
  <c r="T162" i="1"/>
  <c r="T161" i="1"/>
  <c r="T160" i="1"/>
  <c r="T159" i="1"/>
  <c r="T158" i="1"/>
  <c r="P161" i="1"/>
  <c r="P160" i="1"/>
  <c r="P159" i="1"/>
  <c r="P158" i="1"/>
  <c r="O162" i="1"/>
  <c r="O161" i="1"/>
  <c r="O160" i="1"/>
  <c r="O159" i="1"/>
  <c r="O158" i="1"/>
  <c r="T157" i="1"/>
  <c r="P157" i="1"/>
  <c r="O157" i="1"/>
  <c r="T156" i="1"/>
  <c r="P156" i="1"/>
  <c r="O156" i="1"/>
  <c r="T155" i="1"/>
  <c r="P155" i="1"/>
  <c r="O155" i="1"/>
  <c r="T154" i="1"/>
  <c r="P154" i="1"/>
  <c r="O154" i="1"/>
  <c r="T153" i="1"/>
  <c r="P153" i="1"/>
  <c r="O153" i="1"/>
  <c r="T152" i="1"/>
  <c r="P152" i="1"/>
  <c r="O152" i="1"/>
  <c r="T151" i="1"/>
  <c r="P151" i="1"/>
  <c r="O151" i="1"/>
  <c r="O149" i="1"/>
  <c r="P149" i="1"/>
  <c r="T150" i="1"/>
  <c r="P150" i="1"/>
  <c r="O150" i="1"/>
  <c r="T149" i="1"/>
  <c r="T148" i="1"/>
  <c r="P148" i="1"/>
  <c r="O148" i="1"/>
  <c r="T147" i="1"/>
  <c r="P147" i="1"/>
  <c r="O147" i="1"/>
  <c r="T146" i="1"/>
  <c r="P146" i="1"/>
  <c r="O146" i="1"/>
  <c r="T145" i="1"/>
  <c r="P145" i="1"/>
  <c r="O145" i="1"/>
  <c r="T144" i="1"/>
  <c r="P144" i="1"/>
  <c r="O144" i="1"/>
  <c r="T143" i="1"/>
  <c r="P143" i="1"/>
  <c r="O143" i="1"/>
  <c r="T142" i="1"/>
  <c r="P142" i="1"/>
  <c r="O142" i="1"/>
  <c r="T141" i="1"/>
  <c r="P141" i="1"/>
  <c r="O141" i="1"/>
  <c r="T140" i="1"/>
  <c r="P140" i="1"/>
  <c r="O140" i="1"/>
  <c r="T139" i="1"/>
  <c r="P139" i="1"/>
  <c r="P138" i="1"/>
  <c r="O139" i="1"/>
  <c r="T138" i="1"/>
  <c r="O138" i="1"/>
  <c r="T137" i="1"/>
  <c r="P137" i="1"/>
  <c r="O137" i="1"/>
  <c r="T136" i="1"/>
  <c r="P136" i="1"/>
  <c r="P135" i="1"/>
  <c r="O136" i="1"/>
  <c r="T135" i="1"/>
  <c r="O135" i="1"/>
  <c r="T134" i="1"/>
  <c r="P134" i="1"/>
  <c r="O134" i="1"/>
  <c r="T133" i="1"/>
  <c r="P133" i="1"/>
  <c r="O133" i="1"/>
  <c r="T132" i="1"/>
  <c r="P132" i="1"/>
  <c r="O132" i="1"/>
  <c r="T131" i="1"/>
  <c r="P131" i="1"/>
  <c r="O131" i="1"/>
  <c r="T130" i="1"/>
  <c r="P130" i="1"/>
  <c r="O130" i="1"/>
  <c r="T129" i="1"/>
  <c r="P129" i="1"/>
  <c r="O129" i="1"/>
  <c r="T128" i="1"/>
  <c r="T127" i="1"/>
  <c r="T126" i="1"/>
  <c r="T125" i="1"/>
  <c r="P128" i="1"/>
  <c r="O128" i="1"/>
  <c r="P127" i="1"/>
  <c r="O127" i="1"/>
  <c r="P126" i="1"/>
  <c r="O126" i="1"/>
  <c r="P125" i="1"/>
  <c r="O125" i="1"/>
  <c r="T123" i="1"/>
  <c r="T122" i="1"/>
  <c r="P123" i="1"/>
  <c r="P122" i="1"/>
  <c r="O123" i="1"/>
  <c r="O122" i="1"/>
  <c r="T121" i="1"/>
  <c r="T120" i="1"/>
  <c r="P121" i="1"/>
  <c r="P120" i="1"/>
  <c r="O121" i="1"/>
  <c r="O120" i="1"/>
  <c r="T119" i="1"/>
  <c r="T118" i="1"/>
  <c r="T117" i="1"/>
  <c r="P119" i="1"/>
  <c r="P118" i="1"/>
  <c r="P117" i="1"/>
  <c r="O119" i="1"/>
  <c r="O118" i="1"/>
  <c r="O117" i="1"/>
  <c r="T116" i="1"/>
  <c r="T115" i="1"/>
  <c r="T114" i="1"/>
  <c r="P116" i="1"/>
  <c r="P115" i="1"/>
  <c r="P114" i="1"/>
  <c r="O115" i="1"/>
  <c r="O114" i="1"/>
  <c r="T113" i="1"/>
  <c r="T112" i="1"/>
  <c r="P113" i="1"/>
  <c r="P112" i="1"/>
  <c r="O113" i="1"/>
  <c r="O112" i="1"/>
  <c r="T111" i="1"/>
  <c r="T110" i="1"/>
  <c r="T109" i="1"/>
  <c r="T108" i="1"/>
  <c r="P111" i="1"/>
  <c r="P110" i="1"/>
  <c r="P109" i="1"/>
  <c r="P108" i="1"/>
  <c r="O111" i="1"/>
  <c r="O110" i="1"/>
  <c r="O109" i="1"/>
  <c r="O108" i="1"/>
  <c r="T107" i="1"/>
  <c r="T106" i="1"/>
  <c r="T105" i="1"/>
  <c r="T104" i="1"/>
  <c r="P107" i="1"/>
  <c r="P106" i="1"/>
  <c r="P105" i="1"/>
  <c r="P104" i="1"/>
  <c r="O107" i="1"/>
  <c r="O106" i="1"/>
  <c r="O105" i="1"/>
  <c r="O104" i="1"/>
  <c r="T103" i="1"/>
  <c r="T102" i="1"/>
  <c r="T101" i="1"/>
  <c r="T100" i="1"/>
  <c r="P103" i="1"/>
  <c r="P102" i="1"/>
  <c r="O103" i="1"/>
  <c r="O102" i="1"/>
  <c r="P101" i="1"/>
  <c r="O101" i="1"/>
  <c r="P100" i="1"/>
  <c r="O100" i="1"/>
  <c r="T99" i="1"/>
  <c r="P99" i="1"/>
  <c r="O99" i="1"/>
  <c r="T98" i="1"/>
  <c r="P98" i="1"/>
  <c r="T97" i="1"/>
  <c r="T96" i="1"/>
  <c r="T95" i="1"/>
  <c r="P97" i="1"/>
  <c r="P96" i="1"/>
  <c r="P95" i="1"/>
  <c r="O97" i="1"/>
  <c r="O96" i="1"/>
  <c r="O95" i="1"/>
  <c r="T94" i="1"/>
  <c r="T93" i="1"/>
  <c r="P94" i="1"/>
  <c r="P93" i="1"/>
  <c r="O94" i="1"/>
  <c r="O93" i="1"/>
  <c r="T92" i="1"/>
  <c r="P92" i="1"/>
  <c r="O92" i="1"/>
  <c r="T91" i="1" l="1"/>
  <c r="T90" i="1"/>
  <c r="P91" i="1"/>
  <c r="P90" i="1"/>
  <c r="O91" i="1"/>
  <c r="O90" i="1"/>
  <c r="T89" i="1" l="1"/>
  <c r="P89" i="1"/>
  <c r="O89" i="1"/>
  <c r="T88" i="1"/>
  <c r="T87" i="1"/>
  <c r="T86" i="1"/>
  <c r="T85" i="1"/>
  <c r="T84" i="1"/>
  <c r="T83" i="1"/>
  <c r="T82" i="1"/>
  <c r="T81" i="1"/>
  <c r="T80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T79" i="1" l="1"/>
  <c r="T78" i="1" l="1"/>
  <c r="T77" i="1"/>
  <c r="P79" i="1"/>
  <c r="P78" i="1"/>
  <c r="P77" i="1"/>
  <c r="O79" i="1"/>
  <c r="O78" i="1"/>
  <c r="O77" i="1"/>
  <c r="T74" i="1"/>
  <c r="T73" i="1"/>
  <c r="T72" i="1"/>
  <c r="P74" i="1"/>
  <c r="O74" i="1"/>
  <c r="P73" i="1"/>
  <c r="O73" i="1"/>
  <c r="P72" i="1"/>
  <c r="O72" i="1"/>
  <c r="T71" i="1" l="1"/>
  <c r="P71" i="1"/>
  <c r="O71" i="1"/>
  <c r="T65" i="1" l="1"/>
  <c r="P65" i="1"/>
  <c r="P69" i="1"/>
  <c r="O69" i="1"/>
  <c r="O65" i="1"/>
  <c r="T64" i="1" l="1"/>
  <c r="P64" i="1"/>
  <c r="O64" i="1"/>
  <c r="T63" i="1" l="1"/>
  <c r="T62" i="1"/>
  <c r="P63" i="1"/>
  <c r="P62" i="1"/>
  <c r="O63" i="1"/>
  <c r="O62" i="1"/>
  <c r="T61" i="1"/>
  <c r="T60" i="1"/>
  <c r="T59" i="1"/>
  <c r="P61" i="1"/>
  <c r="P60" i="1"/>
  <c r="P59" i="1"/>
  <c r="O61" i="1"/>
  <c r="O60" i="1"/>
  <c r="O59" i="1"/>
  <c r="T58" i="1" l="1"/>
  <c r="T57" i="1"/>
  <c r="P58" i="1"/>
  <c r="O58" i="1"/>
  <c r="T56" i="1" l="1"/>
  <c r="T55" i="1"/>
  <c r="P56" i="1"/>
  <c r="O56" i="1"/>
  <c r="T54" i="1"/>
  <c r="T53" i="1"/>
  <c r="T52" i="1"/>
  <c r="T51" i="1"/>
  <c r="O53" i="1"/>
  <c r="T50" i="1"/>
  <c r="T49" i="1"/>
  <c r="T48" i="1"/>
  <c r="T47" i="1"/>
  <c r="T46" i="1"/>
  <c r="T45" i="1"/>
  <c r="T44" i="1"/>
  <c r="T43" i="1"/>
  <c r="T42" i="1"/>
  <c r="T41" i="1"/>
  <c r="T40" i="1"/>
  <c r="T39" i="1"/>
  <c r="P39" i="1"/>
  <c r="O39" i="1"/>
  <c r="T38" i="1"/>
  <c r="T37" i="1"/>
  <c r="T36" i="1"/>
  <c r="T35" i="1"/>
  <c r="T34" i="1"/>
  <c r="T33" i="1"/>
  <c r="P35" i="1"/>
  <c r="O33" i="1"/>
  <c r="N37" i="1"/>
  <c r="T32" i="1"/>
  <c r="T31" i="1"/>
  <c r="P31" i="1"/>
  <c r="O29" i="1"/>
  <c r="O28" i="1"/>
  <c r="O27" i="1"/>
  <c r="O26" i="1"/>
  <c r="T24" i="1"/>
  <c r="T23" i="1"/>
  <c r="T22" i="1"/>
  <c r="T21" i="1"/>
  <c r="T20" i="1"/>
  <c r="P23" i="1"/>
  <c r="P21" i="1"/>
  <c r="O20" i="1"/>
  <c r="T18" i="1"/>
  <c r="T17" i="1"/>
  <c r="O19" i="1"/>
  <c r="O18" i="1"/>
  <c r="O17" i="1"/>
  <c r="P15" i="1"/>
  <c r="T15" i="1"/>
  <c r="O15" i="1"/>
  <c r="T14" i="1"/>
  <c r="P14" i="1"/>
  <c r="O14" i="1"/>
  <c r="T13" i="1"/>
  <c r="T11" i="1"/>
  <c r="O13" i="1"/>
  <c r="P12" i="1"/>
  <c r="O12" i="1"/>
  <c r="P11" i="1"/>
  <c r="O11" i="1"/>
  <c r="T10" i="1"/>
  <c r="T9" i="1"/>
  <c r="T8" i="1"/>
  <c r="P10" i="1"/>
  <c r="P9" i="1"/>
  <c r="P8" i="1"/>
  <c r="O10" i="1"/>
  <c r="O9" i="1"/>
  <c r="O8" i="1"/>
  <c r="T7" i="1"/>
  <c r="T6" i="1"/>
  <c r="P7" i="1"/>
  <c r="O7" i="1"/>
  <c r="P6" i="1"/>
  <c r="O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Jessleena Suri</author>
    <author>tc={03E10FF2-D178-4D62-8C0C-50C035199D2D}</author>
    <author>tc={0B7A7FF1-779B-40E1-8775-694EA8F3088C}</author>
    <author>Sally Hofmeyr</author>
    <author>tc={57A0F962-996E-4369-ACD9-8643028B74EE}</author>
    <author>tc={E264B7C3-F912-425E-BFF0-1F482B0F8ADB}</author>
    <author>tc={1CC6D1CE-3176-4982-AEEB-88063A14624A}</author>
    <author>tc={70A9A6CA-22C8-46F1-BFCE-84DB61AE46F8}</author>
  </authors>
  <commentList>
    <comment ref="C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1 - ringed as nestling
2 - caught and ringed as fledgling
X - dead, recovered</t>
        </r>
      </text>
    </comment>
    <comment ref="H1" authorId="1" shapeId="0" xr:uid="{03E10FF2-D178-4D62-8C0C-50C035199D2D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eggs laid</t>
      </text>
    </comment>
    <comment ref="I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Brood size at the time of ringing</t>
        </r>
      </text>
    </comment>
    <comment ref="J1" authorId="2" shapeId="0" xr:uid="{0B7A7FF1-779B-40E1-8775-694EA8F3088C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first, second, third etc nestling ringed in same brood</t>
      </text>
    </comment>
    <comment ref="K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 xml:space="preserve">UNSURE IF THIS SHOULD BE BASED ON THE NEST WATCH DATA AND EST HATCH DAY OR BASED ON THE SIZE OF THE CHICK?
</t>
        </r>
      </text>
    </comment>
    <comment ref="K31" authorId="3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 xml:space="preserve">I am using this field for age estimated based on estimated hatch date, and I'm putting the age estimate based on chick size in the additional notes post ringing field.
</t>
        </r>
      </text>
    </comment>
    <comment ref="I39" authorId="3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This includes a dead chick that was in the nest</t>
        </r>
      </text>
    </comment>
    <comment ref="O79" authorId="4" shapeId="0" xr:uid="{00000000-0006-0000-0000-00000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Callipers were read incorrectly; should have been 37 mm, but decimal places were lost because not written down
</t>
      </text>
    </comment>
    <comment ref="P79" authorId="5" shapeId="0" xr:uid="{00000000-0006-0000-0000-000007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Callipers were read incorrectly; should have been 37 mm, but decimal places were lost because not written down
</t>
      </text>
    </comment>
    <comment ref="T79" authorId="6" shapeId="0" xr:uid="{00000000-0006-0000-0000-000008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Written down as 40.8 and 40.9, but Anina later confirmed that the calliper read 47.8 and 47.9. 
</t>
      </text>
    </comment>
    <comment ref="S104" authorId="7" shapeId="0" xr:uid="{70A9A6CA-22C8-46F1-BFCE-84DB61AE46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Couldn't get ruler over the undertail coverts, and felt this measurement was a bit long. Prob closer to 20.</t>
      </text>
    </comment>
  </commentList>
</comments>
</file>

<file path=xl/sharedStrings.xml><?xml version="1.0" encoding="utf-8"?>
<sst xmlns="http://schemas.openxmlformats.org/spreadsheetml/2006/main" count="1281" uniqueCount="407">
  <si>
    <t>Safring</t>
  </si>
  <si>
    <t>Readring</t>
  </si>
  <si>
    <t>code</t>
  </si>
  <si>
    <t>Date</t>
  </si>
  <si>
    <t>Nest ID</t>
  </si>
  <si>
    <t>Female rings</t>
  </si>
  <si>
    <t>Male rings</t>
  </si>
  <si>
    <t>Initial clutch size</t>
  </si>
  <si>
    <t>Brood</t>
  </si>
  <si>
    <t>Nestling</t>
  </si>
  <si>
    <t>Age</t>
  </si>
  <si>
    <t>Readring colour</t>
  </si>
  <si>
    <t>Text colour</t>
  </si>
  <si>
    <t>Mass</t>
  </si>
  <si>
    <t>Left tarsus</t>
  </si>
  <si>
    <t>right tarsus</t>
  </si>
  <si>
    <t>Left wing</t>
  </si>
  <si>
    <t>Right wing</t>
  </si>
  <si>
    <t>Tail</t>
  </si>
  <si>
    <t>head</t>
  </si>
  <si>
    <t>D92342</t>
  </si>
  <si>
    <t>AA</t>
  </si>
  <si>
    <t>1-X</t>
  </si>
  <si>
    <t>RMGG</t>
  </si>
  <si>
    <t>PMPG</t>
  </si>
  <si>
    <t>Red</t>
  </si>
  <si>
    <t>White</t>
  </si>
  <si>
    <t>NA</t>
  </si>
  <si>
    <t>D92343</t>
  </si>
  <si>
    <t>AB</t>
  </si>
  <si>
    <t>XXXX</t>
  </si>
  <si>
    <t>&gt;15</t>
  </si>
  <si>
    <t>D92344</t>
  </si>
  <si>
    <t>AC</t>
  </si>
  <si>
    <t>HWP1</t>
  </si>
  <si>
    <t>BMRP</t>
  </si>
  <si>
    <t>BMBR</t>
  </si>
  <si>
    <t>D92345</t>
  </si>
  <si>
    <t>AD</t>
  </si>
  <si>
    <t>D92346</t>
  </si>
  <si>
    <t>AF</t>
  </si>
  <si>
    <t>RMRY</t>
  </si>
  <si>
    <t>D92347</t>
  </si>
  <si>
    <t>AE</t>
  </si>
  <si>
    <t>&lt;15</t>
  </si>
  <si>
    <t>D92348</t>
  </si>
  <si>
    <t>AG</t>
  </si>
  <si>
    <t>GMRB</t>
  </si>
  <si>
    <t>D92349</t>
  </si>
  <si>
    <t>AI</t>
  </si>
  <si>
    <t>D92350</t>
  </si>
  <si>
    <t>AH</t>
  </si>
  <si>
    <t>D92551</t>
  </si>
  <si>
    <t>AJ</t>
  </si>
  <si>
    <t>BMRO</t>
  </si>
  <si>
    <t>D92552</t>
  </si>
  <si>
    <t>AK</t>
  </si>
  <si>
    <t>D92553</t>
  </si>
  <si>
    <t>AL</t>
  </si>
  <si>
    <t>OMRW</t>
  </si>
  <si>
    <t>D92554</t>
  </si>
  <si>
    <t>AM</t>
  </si>
  <si>
    <t>2-X</t>
  </si>
  <si>
    <t>&gt;22</t>
  </si>
  <si>
    <t>D92555</t>
  </si>
  <si>
    <t>AN</t>
  </si>
  <si>
    <t>PMYW</t>
  </si>
  <si>
    <t>1?</t>
  </si>
  <si>
    <t>D92556</t>
  </si>
  <si>
    <t>N/SAF</t>
  </si>
  <si>
    <t>YMGP</t>
  </si>
  <si>
    <t>2?</t>
  </si>
  <si>
    <t>D92557</t>
  </si>
  <si>
    <t>AO</t>
  </si>
  <si>
    <t>D92558</t>
  </si>
  <si>
    <t>AP</t>
  </si>
  <si>
    <t>RMBP</t>
  </si>
  <si>
    <t>D92559</t>
  </si>
  <si>
    <t>AR</t>
  </si>
  <si>
    <t>D92560</t>
  </si>
  <si>
    <t>AS</t>
  </si>
  <si>
    <t>GMPB</t>
  </si>
  <si>
    <t>OMWG</t>
  </si>
  <si>
    <t>D92561</t>
  </si>
  <si>
    <t>AT</t>
  </si>
  <si>
    <t>D92562</t>
  </si>
  <si>
    <t>AV</t>
  </si>
  <si>
    <t>D92563</t>
  </si>
  <si>
    <t>AX</t>
  </si>
  <si>
    <t>Snape</t>
  </si>
  <si>
    <t>OMWY</t>
  </si>
  <si>
    <t>RMWB</t>
  </si>
  <si>
    <t>D92564</t>
  </si>
  <si>
    <t>AW</t>
  </si>
  <si>
    <t>D92565</t>
  </si>
  <si>
    <t>AY</t>
  </si>
  <si>
    <t>GMYY</t>
  </si>
  <si>
    <t>GMOO</t>
  </si>
  <si>
    <t>D92566</t>
  </si>
  <si>
    <t>AZ</t>
  </si>
  <si>
    <t>BMOO</t>
  </si>
  <si>
    <t>D92568</t>
  </si>
  <si>
    <t>A2</t>
  </si>
  <si>
    <t>BMGG</t>
  </si>
  <si>
    <t>D92569</t>
  </si>
  <si>
    <t>A4</t>
  </si>
  <si>
    <t>D92570</t>
  </si>
  <si>
    <t>A8</t>
  </si>
  <si>
    <t>RMYG</t>
  </si>
  <si>
    <t>D92571</t>
  </si>
  <si>
    <t>AU</t>
  </si>
  <si>
    <t>2+</t>
  </si>
  <si>
    <t>D96047</t>
  </si>
  <si>
    <t>B1</t>
  </si>
  <si>
    <t>CAF2</t>
  </si>
  <si>
    <t>D96023</t>
  </si>
  <si>
    <t>B2</t>
  </si>
  <si>
    <t>LCOM</t>
  </si>
  <si>
    <t>D96024</t>
  </si>
  <si>
    <t>B3</t>
  </si>
  <si>
    <t>JAG2</t>
  </si>
  <si>
    <t>XMGG</t>
  </si>
  <si>
    <t>D96025</t>
  </si>
  <si>
    <t>B4</t>
  </si>
  <si>
    <t>CSCI3</t>
  </si>
  <si>
    <t>YMOR</t>
  </si>
  <si>
    <t>?</t>
  </si>
  <si>
    <t>D96026</t>
  </si>
  <si>
    <t>B5</t>
  </si>
  <si>
    <t>D96027</t>
  </si>
  <si>
    <t>B6</t>
  </si>
  <si>
    <t>NEV1</t>
  </si>
  <si>
    <t>D96028</t>
  </si>
  <si>
    <t>BB</t>
  </si>
  <si>
    <t>BC</t>
  </si>
  <si>
    <t>CHI</t>
  </si>
  <si>
    <t>D96029</t>
  </si>
  <si>
    <t>BD</t>
  </si>
  <si>
    <t>JAM2</t>
  </si>
  <si>
    <t>D96030</t>
  </si>
  <si>
    <t>BE</t>
  </si>
  <si>
    <t>GEO1</t>
  </si>
  <si>
    <t>D96031</t>
  </si>
  <si>
    <t>B9</t>
  </si>
  <si>
    <t>D96032</t>
  </si>
  <si>
    <t>BH</t>
  </si>
  <si>
    <t>SNAPE1</t>
  </si>
  <si>
    <t>BG</t>
  </si>
  <si>
    <t>BK</t>
  </si>
  <si>
    <t>MENZ3</t>
  </si>
  <si>
    <t>BL</t>
  </si>
  <si>
    <t>BJ</t>
  </si>
  <si>
    <t>MECH</t>
  </si>
  <si>
    <t>2 (?)</t>
  </si>
  <si>
    <t>D96033</t>
  </si>
  <si>
    <t>BO</t>
  </si>
  <si>
    <t>EGS</t>
  </si>
  <si>
    <t>RMBY</t>
  </si>
  <si>
    <t>BM</t>
  </si>
  <si>
    <t>D96034</t>
  </si>
  <si>
    <t>BP</t>
  </si>
  <si>
    <t>PSY</t>
  </si>
  <si>
    <t>OMRG</t>
  </si>
  <si>
    <t>D96035</t>
  </si>
  <si>
    <t>BN</t>
  </si>
  <si>
    <t>BS</t>
  </si>
  <si>
    <t>SNAPE2</t>
  </si>
  <si>
    <t>D96036</t>
  </si>
  <si>
    <t>BR</t>
  </si>
  <si>
    <t>BT</t>
  </si>
  <si>
    <t>D96046</t>
  </si>
  <si>
    <t>CW</t>
  </si>
  <si>
    <t>D96039</t>
  </si>
  <si>
    <t>CN</t>
  </si>
  <si>
    <t>MOL</t>
  </si>
  <si>
    <t>D96040</t>
  </si>
  <si>
    <t>CX</t>
  </si>
  <si>
    <t>D96042</t>
  </si>
  <si>
    <t>CP</t>
  </si>
  <si>
    <t>LIB4</t>
  </si>
  <si>
    <t>D96041</t>
  </si>
  <si>
    <t>CL</t>
  </si>
  <si>
    <t>CM</t>
  </si>
  <si>
    <t>CAF1</t>
  </si>
  <si>
    <t>PMPW</t>
  </si>
  <si>
    <t>CH</t>
  </si>
  <si>
    <t>CJ</t>
  </si>
  <si>
    <t>CR</t>
  </si>
  <si>
    <t>MENZ2</t>
  </si>
  <si>
    <t>C9</t>
  </si>
  <si>
    <t>C8</t>
  </si>
  <si>
    <t>BMRV</t>
  </si>
  <si>
    <t>C4</t>
  </si>
  <si>
    <t>C7</t>
  </si>
  <si>
    <t>5A25701</t>
  </si>
  <si>
    <t>C6</t>
  </si>
  <si>
    <t>5A25702</t>
  </si>
  <si>
    <t>C5</t>
  </si>
  <si>
    <t>D96043</t>
  </si>
  <si>
    <t>C2</t>
  </si>
  <si>
    <t>LSOC</t>
  </si>
  <si>
    <t>YMOO</t>
  </si>
  <si>
    <t>? (missed hatch)</t>
  </si>
  <si>
    <t>D96044</t>
  </si>
  <si>
    <t>C3</t>
  </si>
  <si>
    <t>5A25703</t>
  </si>
  <si>
    <t>CK</t>
  </si>
  <si>
    <t>5A25704</t>
  </si>
  <si>
    <t>CG</t>
  </si>
  <si>
    <t>MECH4</t>
  </si>
  <si>
    <t>17(? -- missed hatch)</t>
  </si>
  <si>
    <t>5A25705</t>
  </si>
  <si>
    <t>CE</t>
  </si>
  <si>
    <t>5A25706</t>
  </si>
  <si>
    <t>CD</t>
  </si>
  <si>
    <t>5A25708</t>
  </si>
  <si>
    <t>CC</t>
  </si>
  <si>
    <t>JAG1</t>
  </si>
  <si>
    <t>BMGV</t>
  </si>
  <si>
    <t>5A25707</t>
  </si>
  <si>
    <t>D3</t>
  </si>
  <si>
    <t>5A25709</t>
  </si>
  <si>
    <t>D2</t>
  </si>
  <si>
    <t>MCB2</t>
  </si>
  <si>
    <t>VMBB</t>
  </si>
  <si>
    <t>5A25710</t>
  </si>
  <si>
    <t>D7</t>
  </si>
  <si>
    <t>5A25711</t>
  </si>
  <si>
    <t>D5</t>
  </si>
  <si>
    <t>5A25712</t>
  </si>
  <si>
    <t>D6</t>
  </si>
  <si>
    <t>RWJ</t>
  </si>
  <si>
    <t>OMOO</t>
  </si>
  <si>
    <t>OMBG</t>
  </si>
  <si>
    <t>5A25713</t>
  </si>
  <si>
    <t>D4</t>
  </si>
  <si>
    <t>5A25714</t>
  </si>
  <si>
    <t>DJ</t>
  </si>
  <si>
    <t>ACJ2</t>
  </si>
  <si>
    <t>GMBG</t>
  </si>
  <si>
    <t>5A25715</t>
  </si>
  <si>
    <t>DE</t>
  </si>
  <si>
    <t>5A25716</t>
  </si>
  <si>
    <t>D8</t>
  </si>
  <si>
    <t>MENZ1</t>
  </si>
  <si>
    <t>GMGG</t>
  </si>
  <si>
    <t>5A25717</t>
  </si>
  <si>
    <t>DG</t>
  </si>
  <si>
    <t>5A25718</t>
  </si>
  <si>
    <t>DD</t>
  </si>
  <si>
    <t>5A25719</t>
  </si>
  <si>
    <t>DB</t>
  </si>
  <si>
    <t>5A25720</t>
  </si>
  <si>
    <t>D9</t>
  </si>
  <si>
    <t>5A25721</t>
  </si>
  <si>
    <t>DR</t>
  </si>
  <si>
    <t>JAG3</t>
  </si>
  <si>
    <t>5A25722</t>
  </si>
  <si>
    <t>DM</t>
  </si>
  <si>
    <t>NMYY</t>
  </si>
  <si>
    <t>(presumably 3)</t>
  </si>
  <si>
    <t>2 (+unhatched egg)</t>
  </si>
  <si>
    <t>5A25723</t>
  </si>
  <si>
    <t>DK</t>
  </si>
  <si>
    <t>5A25724</t>
  </si>
  <si>
    <t>DH</t>
  </si>
  <si>
    <t>LCOM2</t>
  </si>
  <si>
    <t>D96045</t>
  </si>
  <si>
    <t>EP</t>
  </si>
  <si>
    <t>XMAZ (alpha)</t>
  </si>
  <si>
    <t>5A25725</t>
  </si>
  <si>
    <t>EE</t>
  </si>
  <si>
    <t>5A25726</t>
  </si>
  <si>
    <t>EM</t>
  </si>
  <si>
    <t>BMBV</t>
  </si>
  <si>
    <t>5A25727</t>
  </si>
  <si>
    <t>EO</t>
  </si>
  <si>
    <t>5A25728</t>
  </si>
  <si>
    <t>EW</t>
  </si>
  <si>
    <t>PHD2</t>
  </si>
  <si>
    <t>VMRR</t>
  </si>
  <si>
    <t>-</t>
  </si>
  <si>
    <t>LCOM1</t>
  </si>
  <si>
    <t>5A25729</t>
  </si>
  <si>
    <t>E9</t>
  </si>
  <si>
    <t>MECH5</t>
  </si>
  <si>
    <t>5A25730</t>
  </si>
  <si>
    <t>E7</t>
  </si>
  <si>
    <t>KAPLAN</t>
  </si>
  <si>
    <t>5A25731</t>
  </si>
  <si>
    <t>EX</t>
  </si>
  <si>
    <t>5A25732</t>
  </si>
  <si>
    <t>EU</t>
  </si>
  <si>
    <t>5A25733</t>
  </si>
  <si>
    <t>E4</t>
  </si>
  <si>
    <t>D96401</t>
  </si>
  <si>
    <t>CA</t>
  </si>
  <si>
    <t>5A25734</t>
  </si>
  <si>
    <t>DC</t>
  </si>
  <si>
    <t>5A25735</t>
  </si>
  <si>
    <t>EY</t>
  </si>
  <si>
    <t>5A25736</t>
  </si>
  <si>
    <t>DU</t>
  </si>
  <si>
    <t>D96403</t>
  </si>
  <si>
    <t>EH</t>
  </si>
  <si>
    <t>D96402</t>
  </si>
  <si>
    <t>A1</t>
  </si>
  <si>
    <t>5A25738</t>
  </si>
  <si>
    <t>E6</t>
  </si>
  <si>
    <t>FITZ</t>
  </si>
  <si>
    <t>5A25737</t>
  </si>
  <si>
    <t>E5</t>
  </si>
  <si>
    <t>5A25739</t>
  </si>
  <si>
    <t>NEV4</t>
  </si>
  <si>
    <t>5A25740</t>
  </si>
  <si>
    <t>DW</t>
  </si>
  <si>
    <t>5A25742</t>
  </si>
  <si>
    <t>CI</t>
  </si>
  <si>
    <t>YMRW</t>
  </si>
  <si>
    <t>5A25741</t>
  </si>
  <si>
    <t>E3</t>
  </si>
  <si>
    <t>5A25743</t>
  </si>
  <si>
    <t>EMALL4</t>
  </si>
  <si>
    <t>OMBW</t>
  </si>
  <si>
    <t>XMA2 (alpha)</t>
  </si>
  <si>
    <t>D96404</t>
  </si>
  <si>
    <t>ED</t>
  </si>
  <si>
    <t>LIB5</t>
  </si>
  <si>
    <t>5A25745</t>
  </si>
  <si>
    <t>E2</t>
  </si>
  <si>
    <t>5A25744</t>
  </si>
  <si>
    <t>DT</t>
  </si>
  <si>
    <t>D96406</t>
  </si>
  <si>
    <t>XMAG (alpha)</t>
  </si>
  <si>
    <t>D96405</t>
  </si>
  <si>
    <t>E1</t>
  </si>
  <si>
    <t>5A25747</t>
  </si>
  <si>
    <t>Yellow</t>
  </si>
  <si>
    <t>Black</t>
  </si>
  <si>
    <t>5A25746</t>
  </si>
  <si>
    <t>D96407</t>
  </si>
  <si>
    <t>BART</t>
  </si>
  <si>
    <t>NMBB</t>
  </si>
  <si>
    <t>JUVENILE (age code 2)</t>
  </si>
  <si>
    <t>5A25749</t>
  </si>
  <si>
    <t>5A25748</t>
  </si>
  <si>
    <t>D96408</t>
  </si>
  <si>
    <t>5A25750</t>
  </si>
  <si>
    <t>5A25770</t>
  </si>
  <si>
    <t>D96409</t>
  </si>
  <si>
    <t>PDH6</t>
  </si>
  <si>
    <t>5A25771</t>
  </si>
  <si>
    <t>A3</t>
  </si>
  <si>
    <t>BMOV</t>
  </si>
  <si>
    <t>OMBO</t>
  </si>
  <si>
    <t>D96410</t>
  </si>
  <si>
    <t>D96411</t>
  </si>
  <si>
    <t>5A25772</t>
  </si>
  <si>
    <t>5A25773</t>
  </si>
  <si>
    <t>5A25774</t>
  </si>
  <si>
    <t>5A25775</t>
  </si>
  <si>
    <t>A5</t>
  </si>
  <si>
    <t>5A25776</t>
  </si>
  <si>
    <t>A6</t>
  </si>
  <si>
    <t>XMAZ (alphaRW)</t>
  </si>
  <si>
    <t>D96413</t>
  </si>
  <si>
    <t>D96414</t>
  </si>
  <si>
    <t>XMA2 (alphaRW)</t>
  </si>
  <si>
    <t>D96415</t>
  </si>
  <si>
    <t>5A25777</t>
  </si>
  <si>
    <t>5A25778</t>
  </si>
  <si>
    <t>SNAPE7</t>
  </si>
  <si>
    <t>MRWB</t>
  </si>
  <si>
    <t>5A25779</t>
  </si>
  <si>
    <t>5A25780</t>
  </si>
  <si>
    <t>5A25781</t>
  </si>
  <si>
    <t>5A25782</t>
  </si>
  <si>
    <t>5A25783</t>
  </si>
  <si>
    <t>BU</t>
  </si>
  <si>
    <t>PDH9</t>
  </si>
  <si>
    <t>5A25784</t>
  </si>
  <si>
    <t>BY</t>
  </si>
  <si>
    <t>D96416</t>
  </si>
  <si>
    <t>5A25785</t>
  </si>
  <si>
    <t>D96417</t>
  </si>
  <si>
    <t>5A25786</t>
  </si>
  <si>
    <t>XMBC</t>
  </si>
  <si>
    <t>5A25800</t>
  </si>
  <si>
    <t>5A25787</t>
  </si>
  <si>
    <t>5A25788</t>
  </si>
  <si>
    <t>5A25789</t>
  </si>
  <si>
    <t>D96420</t>
  </si>
  <si>
    <t>CU</t>
  </si>
  <si>
    <t>BMVO</t>
  </si>
  <si>
    <t>D96419</t>
  </si>
  <si>
    <t>CY</t>
  </si>
  <si>
    <t>D96418</t>
  </si>
  <si>
    <t>D96412</t>
  </si>
  <si>
    <t>D96421</t>
  </si>
  <si>
    <t>D96422</t>
  </si>
  <si>
    <t>CO</t>
  </si>
  <si>
    <t>D96423</t>
  </si>
  <si>
    <t>5A25790</t>
  </si>
  <si>
    <t>PDH10</t>
  </si>
  <si>
    <t>JAG4</t>
  </si>
  <si>
    <t>IVY</t>
  </si>
  <si>
    <t>MAM2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</si>
</sst>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96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6" fillId="33" borderId="0" xfId="0" applyFont="1" applyFill="1"/>
    <xf numFmtId="0" fontId="14" fillId="0" borderId="0" xfId="0" applyFont="1"/>
    <xf numFmtId="0" fontId="0" fillId="33" borderId="0" xfId="0" applyFill="1"/>
    <xf numFmtId="165" fontId="16" fillId="0" borderId="0" xfId="0" applyNumberFormat="1" applyFont="1"/>
    <xf numFmtId="165" fontId="0" fillId="0" borderId="0" xfId="0" applyNumberFormat="1"/>
    <xf numFmtId="0" fontId="7" fillId="3" borderId="0" xfId="7"/>
    <xf numFmtId="165" fontId="7" fillId="3" borderId="0" xfId="7" applyNumberFormat="1"/>
    <xf numFmtId="0" fontId="7" fillId="3" borderId="0" xfId="7" applyAlignment="1">
      <alignment horizontal="right"/>
    </xf>
    <xf numFmtId="0" fontId="0" fillId="34" borderId="0" xfId="0" applyFill="1"/>
    <xf numFmtId="0" fontId="18" fillId="34" borderId="0" xfId="0" applyFont="1" applyFill="1"/>
    <xf numFmtId="0" fontId="14" fillId="35" borderId="0" xfId="0" applyFont="1" applyFill="1"/>
    <xf numFmtId="165" fontId="14" fillId="35" borderId="0" xfId="0" applyNumberFormat="1" applyFont="1" applyFill="1"/>
    <xf numFmtId="0" fontId="14" fillId="35" borderId="0" xfId="0" applyFont="1" applyFill="1" applyAlignment="1">
      <alignment horizontal="right"/>
    </xf>
    <xf numFmtId="0" fontId="14" fillId="35" borderId="0" xfId="7" applyFont="1" applyFill="1"/>
    <xf numFmtId="165" fontId="14" fillId="35" borderId="0" xfId="7" applyNumberFormat="1" applyFont="1" applyFill="1"/>
    <xf numFmtId="0" fontId="14" fillId="35" borderId="0" xfId="7" applyFont="1" applyFill="1" applyAlignment="1">
      <alignment horizontal="right"/>
    </xf>
    <xf numFmtId="0" fontId="19" fillId="0" borderId="0" xfId="7" applyFont="1" applyFill="1"/>
    <xf numFmtId="0" fontId="20" fillId="3" borderId="0" xfId="7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lly Hofmeyr" id="{318321E1-D0AD-42D8-9716-30C1FE1BAB5B}" userId="" providerId=""/>
  <person displayName="Susan Cunningham" id="{0B6C035A-23B3-4645-8211-02FE341E4C19}" userId="9c249a3796e885d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04-14T18:39:02.66" personId="{0B6C035A-23B3-4645-8211-02FE341E4C19}" id="{03E10FF2-D178-4D62-8C0C-50C035199D2D}">
    <text>Number of eggs laid</text>
  </threadedComment>
  <threadedComment ref="J1" dT="2022-04-14T18:39:30.94" personId="{0B6C035A-23B3-4645-8211-02FE341E4C19}" id="{0B7A7FF1-779B-40E1-8775-694EA8F3088C}">
    <text>first, second, third etc nestling ringed in same brood</text>
  </threadedComment>
  <threadedComment ref="O79" dT="2019-11-05T19:48:19.34" personId="{318321E1-D0AD-42D8-9716-30C1FE1BAB5B}" id="{57A0F962-996E-4369-ACD9-8643028B74EE}">
    <text xml:space="preserve">Callipers were read incorrectly; should have been 37 mm, but decimal places were lost because not written down
</text>
  </threadedComment>
  <threadedComment ref="P79" dT="2019-11-05T19:48:26.50" personId="{318321E1-D0AD-42D8-9716-30C1FE1BAB5B}" id="{E264B7C3-F912-425E-BFF0-1F482B0F8ADB}">
    <text xml:space="preserve">Callipers were read incorrectly; should have been 37 mm, but decimal places were lost because not written down
</text>
  </threadedComment>
  <threadedComment ref="T79" dT="2019-11-05T19:51:10.25" personId="{318321E1-D0AD-42D8-9716-30C1FE1BAB5B}" id="{1CC6D1CE-3176-4982-AEEB-88063A14624A}">
    <text xml:space="preserve">Written down as 40.8 and 40.9, but Anina later confirmed that the calliper read 47.8 and 47.9. 
</text>
  </threadedComment>
  <threadedComment ref="S104" dT="2020-12-03T20:01:52.51" personId="{318321E1-D0AD-42D8-9716-30C1FE1BAB5B}" id="{70A9A6CA-22C8-46F1-BFCE-84DB61AE46F8}">
    <text>Couldn't get ruler over the undertail coverts, and felt this measurement was a bit long. Prob closer to 20.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5"/>
  <sheetViews>
    <sheetView tabSelected="1" workbookViewId="0">
      <pane xSplit="5" ySplit="1" topLeftCell="F2" activePane="bottomRight" state="frozen"/>
      <selection pane="topRight"/>
      <selection pane="bottomLeft"/>
      <selection pane="bottomRight" activeCell="I15" sqref="I15"/>
    </sheetView>
  </sheetViews>
  <sheetFormatPr defaultRowHeight="15" x14ac:dyDescent="0.25"/>
  <cols>
    <col min="2" max="2" width="5.140625" customWidth="1"/>
    <col min="3" max="3" width="4.42578125" customWidth="1"/>
    <col min="4" max="4" width="10.85546875" style="8" customWidth="1"/>
    <col min="5" max="7" width="9.140625" customWidth="1"/>
    <col min="8" max="8" width="13.140625" style="3" customWidth="1"/>
    <col min="9" max="20" width="9.140625" customWidth="1"/>
  </cols>
  <sheetData>
    <row r="1" spans="1:20" s="1" customFormat="1" ht="62.25" customHeight="1" x14ac:dyDescent="0.25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9" customFormat="1" x14ac:dyDescent="0.25">
      <c r="A2" s="9" t="s">
        <v>20</v>
      </c>
      <c r="B2" s="9" t="s">
        <v>21</v>
      </c>
      <c r="C2" s="11" t="s">
        <v>22</v>
      </c>
      <c r="D2" s="10">
        <v>43056</v>
      </c>
      <c r="E2" s="9" t="s">
        <v>217</v>
      </c>
      <c r="F2" s="9" t="s">
        <v>23</v>
      </c>
      <c r="G2" s="9" t="s">
        <v>24</v>
      </c>
      <c r="H2" s="11">
        <v>2</v>
      </c>
      <c r="I2" s="9">
        <v>1</v>
      </c>
      <c r="J2" s="9">
        <v>1</v>
      </c>
      <c r="K2" s="9">
        <v>15</v>
      </c>
      <c r="L2" s="9" t="s">
        <v>25</v>
      </c>
      <c r="M2" s="9" t="s">
        <v>26</v>
      </c>
      <c r="N2" s="9">
        <v>52.5</v>
      </c>
      <c r="O2" s="9">
        <v>32.4</v>
      </c>
      <c r="P2" s="9">
        <v>33.299999999999997</v>
      </c>
      <c r="Q2" s="9">
        <v>54</v>
      </c>
      <c r="R2" s="9">
        <v>50</v>
      </c>
      <c r="S2" s="9" t="s">
        <v>27</v>
      </c>
      <c r="T2" s="9">
        <v>42.35</v>
      </c>
    </row>
    <row r="3" spans="1:20" x14ac:dyDescent="0.25">
      <c r="A3" t="s">
        <v>28</v>
      </c>
      <c r="B3" t="s">
        <v>29</v>
      </c>
      <c r="C3">
        <v>1</v>
      </c>
      <c r="D3" s="8">
        <v>43056</v>
      </c>
      <c r="E3" t="s">
        <v>188</v>
      </c>
      <c r="F3" t="s">
        <v>30</v>
      </c>
      <c r="G3" t="s">
        <v>30</v>
      </c>
      <c r="H3" s="3" t="s">
        <v>27</v>
      </c>
      <c r="I3">
        <v>1</v>
      </c>
      <c r="J3">
        <v>1</v>
      </c>
      <c r="K3" t="s">
        <v>31</v>
      </c>
      <c r="L3" t="s">
        <v>25</v>
      </c>
      <c r="M3" t="s">
        <v>26</v>
      </c>
      <c r="N3">
        <v>100.4</v>
      </c>
      <c r="O3">
        <v>37.85</v>
      </c>
      <c r="P3">
        <v>38.200000000000003</v>
      </c>
      <c r="Q3">
        <v>76</v>
      </c>
      <c r="R3">
        <v>77</v>
      </c>
      <c r="S3" t="s">
        <v>27</v>
      </c>
      <c r="T3">
        <v>47.8</v>
      </c>
    </row>
    <row r="4" spans="1:20" s="9" customFormat="1" x14ac:dyDescent="0.25">
      <c r="A4" s="9" t="s">
        <v>32</v>
      </c>
      <c r="B4" s="9" t="s">
        <v>33</v>
      </c>
      <c r="C4" s="9" t="s">
        <v>22</v>
      </c>
      <c r="D4" s="10">
        <v>43059</v>
      </c>
      <c r="E4" s="9" t="s">
        <v>34</v>
      </c>
      <c r="F4" s="9" t="s">
        <v>35</v>
      </c>
      <c r="G4" s="9" t="s">
        <v>36</v>
      </c>
      <c r="H4" s="11" t="s">
        <v>27</v>
      </c>
      <c r="I4" s="9">
        <v>2</v>
      </c>
      <c r="J4" s="9">
        <v>1</v>
      </c>
      <c r="K4" s="9">
        <v>15</v>
      </c>
      <c r="L4" s="9" t="s">
        <v>25</v>
      </c>
      <c r="M4" s="9" t="s">
        <v>26</v>
      </c>
      <c r="N4" s="9">
        <v>94.2</v>
      </c>
      <c r="O4" s="9">
        <v>38.6</v>
      </c>
      <c r="P4" s="9" t="s">
        <v>27</v>
      </c>
      <c r="Q4" s="9">
        <v>76</v>
      </c>
      <c r="R4" s="9">
        <v>73</v>
      </c>
      <c r="S4" s="9" t="s">
        <v>27</v>
      </c>
      <c r="T4" s="9">
        <v>49.15</v>
      </c>
    </row>
    <row r="5" spans="1:20" x14ac:dyDescent="0.25">
      <c r="A5" t="s">
        <v>37</v>
      </c>
      <c r="B5" t="s">
        <v>38</v>
      </c>
      <c r="C5">
        <v>1</v>
      </c>
      <c r="D5" s="8">
        <v>43059</v>
      </c>
      <c r="E5" t="s">
        <v>34</v>
      </c>
      <c r="F5" t="s">
        <v>35</v>
      </c>
      <c r="G5" t="s">
        <v>36</v>
      </c>
      <c r="H5" s="3" t="s">
        <v>27</v>
      </c>
      <c r="I5">
        <v>2</v>
      </c>
      <c r="J5">
        <v>2</v>
      </c>
      <c r="K5">
        <v>15</v>
      </c>
      <c r="L5" t="s">
        <v>25</v>
      </c>
      <c r="M5" t="s">
        <v>26</v>
      </c>
      <c r="N5">
        <v>78.2</v>
      </c>
      <c r="O5">
        <v>35.6</v>
      </c>
      <c r="P5" t="s">
        <v>27</v>
      </c>
      <c r="Q5">
        <v>65</v>
      </c>
      <c r="R5">
        <v>67</v>
      </c>
      <c r="S5" t="s">
        <v>27</v>
      </c>
      <c r="T5">
        <v>46.05</v>
      </c>
    </row>
    <row r="6" spans="1:20" x14ac:dyDescent="0.25">
      <c r="A6" t="s">
        <v>39</v>
      </c>
      <c r="B6" t="s">
        <v>40</v>
      </c>
      <c r="C6">
        <v>1</v>
      </c>
      <c r="D6" s="8">
        <v>43061</v>
      </c>
      <c r="E6" t="s">
        <v>135</v>
      </c>
      <c r="F6" t="s">
        <v>30</v>
      </c>
      <c r="G6" t="s">
        <v>41</v>
      </c>
      <c r="H6" s="3" t="s">
        <v>27</v>
      </c>
      <c r="I6">
        <v>2</v>
      </c>
      <c r="J6">
        <v>1</v>
      </c>
      <c r="K6" t="s">
        <v>31</v>
      </c>
      <c r="L6" t="s">
        <v>25</v>
      </c>
      <c r="M6" t="s">
        <v>26</v>
      </c>
      <c r="N6">
        <v>98.8</v>
      </c>
      <c r="O6">
        <f>(36.7+36.6)/2</f>
        <v>36.650000000000006</v>
      </c>
      <c r="P6">
        <f>(36.6+36.4)/2</f>
        <v>36.5</v>
      </c>
      <c r="Q6">
        <v>82</v>
      </c>
      <c r="R6">
        <v>83</v>
      </c>
      <c r="S6" t="s">
        <v>27</v>
      </c>
      <c r="T6">
        <f>(37.3+37.6)/2</f>
        <v>37.450000000000003</v>
      </c>
    </row>
    <row r="7" spans="1:20" x14ac:dyDescent="0.25">
      <c r="A7" t="s">
        <v>42</v>
      </c>
      <c r="B7" t="s">
        <v>43</v>
      </c>
      <c r="C7">
        <v>1</v>
      </c>
      <c r="D7" s="8">
        <v>43061</v>
      </c>
      <c r="E7" t="s">
        <v>135</v>
      </c>
      <c r="F7" t="s">
        <v>30</v>
      </c>
      <c r="G7" t="s">
        <v>41</v>
      </c>
      <c r="H7" s="3" t="s">
        <v>27</v>
      </c>
      <c r="I7">
        <v>2</v>
      </c>
      <c r="J7">
        <v>2</v>
      </c>
      <c r="K7" t="s">
        <v>44</v>
      </c>
      <c r="L7" t="s">
        <v>25</v>
      </c>
      <c r="M7" t="s">
        <v>26</v>
      </c>
      <c r="N7">
        <v>83.4</v>
      </c>
      <c r="O7">
        <f>(35.1+34.6)/2</f>
        <v>34.85</v>
      </c>
      <c r="P7">
        <f>(34.6+34.2)/2</f>
        <v>34.400000000000006</v>
      </c>
      <c r="Q7">
        <v>66</v>
      </c>
      <c r="R7">
        <v>68</v>
      </c>
      <c r="S7" t="s">
        <v>27</v>
      </c>
      <c r="T7">
        <f>(34.6+34.2)/2</f>
        <v>34.400000000000006</v>
      </c>
    </row>
    <row r="8" spans="1:20" x14ac:dyDescent="0.25">
      <c r="A8" t="s">
        <v>45</v>
      </c>
      <c r="B8" t="s">
        <v>46</v>
      </c>
      <c r="C8">
        <v>1</v>
      </c>
      <c r="D8" s="8">
        <v>43062</v>
      </c>
      <c r="E8" t="s">
        <v>149</v>
      </c>
      <c r="F8" t="s">
        <v>30</v>
      </c>
      <c r="G8" t="s">
        <v>47</v>
      </c>
      <c r="H8" s="3">
        <v>3</v>
      </c>
      <c r="I8">
        <v>3</v>
      </c>
      <c r="J8">
        <v>1</v>
      </c>
      <c r="K8" t="s">
        <v>44</v>
      </c>
      <c r="L8" t="s">
        <v>25</v>
      </c>
      <c r="M8" t="s">
        <v>26</v>
      </c>
      <c r="N8">
        <v>80.400000000000006</v>
      </c>
      <c r="O8">
        <f>(35.2+35.6)/2</f>
        <v>35.400000000000006</v>
      </c>
      <c r="P8">
        <f>(35.5+35.5)/2</f>
        <v>35.5</v>
      </c>
      <c r="Q8">
        <v>60</v>
      </c>
      <c r="R8">
        <v>59</v>
      </c>
      <c r="S8" t="s">
        <v>27</v>
      </c>
      <c r="T8">
        <f>(33.6+33.3)/2</f>
        <v>33.450000000000003</v>
      </c>
    </row>
    <row r="9" spans="1:20" x14ac:dyDescent="0.25">
      <c r="A9" t="s">
        <v>48</v>
      </c>
      <c r="B9" t="s">
        <v>49</v>
      </c>
      <c r="C9">
        <v>1</v>
      </c>
      <c r="D9" s="8">
        <v>43062</v>
      </c>
      <c r="E9" t="s">
        <v>149</v>
      </c>
      <c r="F9" t="s">
        <v>30</v>
      </c>
      <c r="G9" t="s">
        <v>47</v>
      </c>
      <c r="H9" s="3">
        <v>3</v>
      </c>
      <c r="I9">
        <v>3</v>
      </c>
      <c r="J9">
        <v>2</v>
      </c>
      <c r="K9">
        <v>15</v>
      </c>
      <c r="L9" t="s">
        <v>25</v>
      </c>
      <c r="M9" t="s">
        <v>26</v>
      </c>
      <c r="N9">
        <v>91.8</v>
      </c>
      <c r="O9">
        <f>(36.8+36.8)/2</f>
        <v>36.799999999999997</v>
      </c>
      <c r="P9">
        <f>(37.8+37.4)/2</f>
        <v>37.599999999999994</v>
      </c>
      <c r="Q9">
        <v>75</v>
      </c>
      <c r="R9">
        <v>70</v>
      </c>
      <c r="S9" t="s">
        <v>27</v>
      </c>
      <c r="T9">
        <f>(46+45.9)/2</f>
        <v>45.95</v>
      </c>
    </row>
    <row r="10" spans="1:20" x14ac:dyDescent="0.25">
      <c r="A10" t="s">
        <v>50</v>
      </c>
      <c r="B10" t="s">
        <v>51</v>
      </c>
      <c r="C10">
        <v>1</v>
      </c>
      <c r="D10" s="8">
        <v>43062</v>
      </c>
      <c r="E10" t="s">
        <v>149</v>
      </c>
      <c r="F10" t="s">
        <v>30</v>
      </c>
      <c r="G10" t="s">
        <v>47</v>
      </c>
      <c r="H10" s="3">
        <v>3</v>
      </c>
      <c r="I10">
        <v>3</v>
      </c>
      <c r="J10">
        <v>3</v>
      </c>
      <c r="K10" t="s">
        <v>44</v>
      </c>
      <c r="L10" t="s">
        <v>25</v>
      </c>
      <c r="M10" t="s">
        <v>26</v>
      </c>
      <c r="N10">
        <v>98.3</v>
      </c>
      <c r="O10">
        <f>(38.6+38.3)/2</f>
        <v>38.450000000000003</v>
      </c>
      <c r="P10">
        <f>(38.6+38.6)/2</f>
        <v>38.6</v>
      </c>
      <c r="Q10">
        <v>71</v>
      </c>
      <c r="R10">
        <v>70</v>
      </c>
      <c r="S10" t="s">
        <v>27</v>
      </c>
      <c r="T10">
        <f>(36.8+36.9)/2</f>
        <v>36.849999999999994</v>
      </c>
    </row>
    <row r="11" spans="1:20" x14ac:dyDescent="0.25">
      <c r="A11" t="s">
        <v>52</v>
      </c>
      <c r="B11" t="s">
        <v>53</v>
      </c>
      <c r="C11">
        <v>1</v>
      </c>
      <c r="D11" s="8">
        <v>43063</v>
      </c>
      <c r="E11" t="s">
        <v>404</v>
      </c>
      <c r="F11" t="s">
        <v>54</v>
      </c>
      <c r="G11" t="s">
        <v>30</v>
      </c>
      <c r="H11" s="3">
        <v>3</v>
      </c>
      <c r="I11">
        <v>2</v>
      </c>
      <c r="J11">
        <v>1</v>
      </c>
      <c r="K11">
        <v>15</v>
      </c>
      <c r="L11" t="s">
        <v>25</v>
      </c>
      <c r="M11" t="s">
        <v>26</v>
      </c>
      <c r="N11">
        <v>67.5</v>
      </c>
      <c r="O11">
        <f>(34.7+34.5)/2</f>
        <v>34.6</v>
      </c>
      <c r="P11">
        <f>(34.6+34.2)/2</f>
        <v>34.400000000000006</v>
      </c>
      <c r="Q11">
        <v>61</v>
      </c>
      <c r="R11">
        <v>62</v>
      </c>
      <c r="S11" t="s">
        <v>27</v>
      </c>
      <c r="T11">
        <f>(44.7+45.1)/2</f>
        <v>44.900000000000006</v>
      </c>
    </row>
    <row r="12" spans="1:20" x14ac:dyDescent="0.25">
      <c r="A12" t="s">
        <v>55</v>
      </c>
      <c r="B12" t="s">
        <v>56</v>
      </c>
      <c r="C12">
        <v>1</v>
      </c>
      <c r="D12" s="8">
        <v>43063</v>
      </c>
      <c r="E12" t="s">
        <v>404</v>
      </c>
      <c r="F12" t="s">
        <v>54</v>
      </c>
      <c r="G12" t="s">
        <v>30</v>
      </c>
      <c r="H12" s="3">
        <v>3</v>
      </c>
      <c r="I12">
        <v>2</v>
      </c>
      <c r="J12">
        <v>2</v>
      </c>
      <c r="K12">
        <v>15</v>
      </c>
      <c r="L12" t="s">
        <v>25</v>
      </c>
      <c r="M12" t="s">
        <v>26</v>
      </c>
      <c r="N12">
        <v>67.599999999999994</v>
      </c>
      <c r="O12">
        <f>(33.9+33.5)/2</f>
        <v>33.700000000000003</v>
      </c>
      <c r="P12">
        <f>(33.6+33.8)/2</f>
        <v>33.700000000000003</v>
      </c>
      <c r="Q12">
        <v>60</v>
      </c>
      <c r="R12">
        <v>59</v>
      </c>
      <c r="S12" t="s">
        <v>27</v>
      </c>
      <c r="T12">
        <v>43.8</v>
      </c>
    </row>
    <row r="13" spans="1:20" s="9" customFormat="1" x14ac:dyDescent="0.25">
      <c r="A13" s="9" t="s">
        <v>57</v>
      </c>
      <c r="B13" s="9" t="s">
        <v>58</v>
      </c>
      <c r="C13" s="9">
        <v>1</v>
      </c>
      <c r="D13" s="10">
        <v>43063</v>
      </c>
      <c r="E13" s="9" t="s">
        <v>183</v>
      </c>
      <c r="F13" s="9" t="s">
        <v>30</v>
      </c>
      <c r="G13" s="9" t="s">
        <v>59</v>
      </c>
      <c r="H13" s="11">
        <v>3</v>
      </c>
      <c r="I13" s="9">
        <v>1</v>
      </c>
      <c r="J13" s="9">
        <v>1</v>
      </c>
      <c r="K13" s="9" t="s">
        <v>31</v>
      </c>
      <c r="L13" s="9" t="s">
        <v>25</v>
      </c>
      <c r="M13" s="9" t="s">
        <v>26</v>
      </c>
      <c r="N13" s="9">
        <v>84.7</v>
      </c>
      <c r="O13" s="9">
        <f>(35.3+35.2)/2</f>
        <v>35.25</v>
      </c>
      <c r="P13" s="9">
        <v>35</v>
      </c>
      <c r="Q13" s="9">
        <v>71</v>
      </c>
      <c r="R13" s="9">
        <v>70</v>
      </c>
      <c r="S13" s="9" t="s">
        <v>27</v>
      </c>
      <c r="T13" s="9">
        <f>(45.1+45)/2</f>
        <v>45.05</v>
      </c>
    </row>
    <row r="14" spans="1:20" s="9" customFormat="1" x14ac:dyDescent="0.25">
      <c r="A14" s="9" t="s">
        <v>60</v>
      </c>
      <c r="B14" s="9" t="s">
        <v>61</v>
      </c>
      <c r="C14" s="11" t="s">
        <v>62</v>
      </c>
      <c r="D14" s="10">
        <v>43066</v>
      </c>
      <c r="E14" s="9" t="s">
        <v>131</v>
      </c>
      <c r="F14" s="9" t="s">
        <v>30</v>
      </c>
      <c r="G14" s="9" t="s">
        <v>30</v>
      </c>
      <c r="H14" s="11" t="s">
        <v>27</v>
      </c>
      <c r="I14" s="9">
        <v>3</v>
      </c>
      <c r="J14" s="9">
        <v>1</v>
      </c>
      <c r="K14" s="9" t="s">
        <v>63</v>
      </c>
      <c r="L14" s="9" t="s">
        <v>25</v>
      </c>
      <c r="M14" s="9" t="s">
        <v>26</v>
      </c>
      <c r="N14" s="9" t="s">
        <v>27</v>
      </c>
      <c r="O14" s="9">
        <f>(39.3+39.9)/2</f>
        <v>39.599999999999994</v>
      </c>
      <c r="P14" s="9">
        <f>(39.7+40.2)/2</f>
        <v>39.950000000000003</v>
      </c>
      <c r="Q14" s="9">
        <v>107</v>
      </c>
      <c r="R14" s="9">
        <v>115</v>
      </c>
      <c r="S14" s="9">
        <v>6.6</v>
      </c>
      <c r="T14" s="9">
        <f>(52.1+51.9)/2</f>
        <v>52</v>
      </c>
    </row>
    <row r="15" spans="1:20" s="9" customFormat="1" x14ac:dyDescent="0.25">
      <c r="A15" s="9" t="s">
        <v>64</v>
      </c>
      <c r="B15" s="9" t="s">
        <v>65</v>
      </c>
      <c r="C15" s="9" t="s">
        <v>62</v>
      </c>
      <c r="D15" s="10">
        <v>43068</v>
      </c>
      <c r="E15" s="9" t="s">
        <v>406</v>
      </c>
      <c r="F15" s="9" t="s">
        <v>66</v>
      </c>
      <c r="G15" s="9" t="s">
        <v>30</v>
      </c>
      <c r="H15" s="11" t="s">
        <v>27</v>
      </c>
      <c r="I15" s="9" t="s">
        <v>67</v>
      </c>
      <c r="J15" s="9">
        <v>1</v>
      </c>
      <c r="K15" s="9">
        <v>25</v>
      </c>
      <c r="L15" s="9" t="s">
        <v>25</v>
      </c>
      <c r="M15" s="9" t="s">
        <v>26</v>
      </c>
      <c r="N15" s="9">
        <v>94.1</v>
      </c>
      <c r="O15" s="9">
        <f>(38.1+37.9)/2</f>
        <v>38</v>
      </c>
      <c r="P15" s="9">
        <f>38.15</f>
        <v>38.15</v>
      </c>
      <c r="Q15" s="9">
        <v>126</v>
      </c>
      <c r="R15" s="9">
        <v>124</v>
      </c>
      <c r="S15" s="9">
        <v>6.8</v>
      </c>
      <c r="T15" s="9">
        <f>(50.9+51.2)/2</f>
        <v>51.05</v>
      </c>
    </row>
    <row r="16" spans="1:20" x14ac:dyDescent="0.25">
      <c r="A16" t="s">
        <v>68</v>
      </c>
      <c r="B16" s="5" t="s">
        <v>69</v>
      </c>
      <c r="C16">
        <v>2</v>
      </c>
      <c r="D16" s="8">
        <v>43070</v>
      </c>
      <c r="E16" t="s">
        <v>405</v>
      </c>
      <c r="F16" t="s">
        <v>30</v>
      </c>
      <c r="G16" t="s">
        <v>70</v>
      </c>
      <c r="H16" s="3" t="s">
        <v>27</v>
      </c>
      <c r="I16" t="s">
        <v>71</v>
      </c>
      <c r="J16">
        <v>1</v>
      </c>
      <c r="K16">
        <v>27</v>
      </c>
      <c r="L16" t="s">
        <v>27</v>
      </c>
      <c r="M16" t="s">
        <v>27</v>
      </c>
      <c r="N16">
        <v>81.099999999999994</v>
      </c>
      <c r="O16">
        <v>36.200000000000003</v>
      </c>
      <c r="P16">
        <v>37</v>
      </c>
      <c r="Q16">
        <v>111</v>
      </c>
      <c r="R16">
        <v>112</v>
      </c>
      <c r="S16">
        <v>6.1</v>
      </c>
      <c r="T16">
        <v>49.8</v>
      </c>
    </row>
    <row r="17" spans="1:20" x14ac:dyDescent="0.25">
      <c r="A17" t="s">
        <v>72</v>
      </c>
      <c r="B17" t="s">
        <v>73</v>
      </c>
      <c r="C17">
        <v>1</v>
      </c>
      <c r="D17" s="8">
        <v>43072</v>
      </c>
      <c r="E17" t="s">
        <v>152</v>
      </c>
      <c r="F17" t="s">
        <v>30</v>
      </c>
      <c r="G17" t="s">
        <v>30</v>
      </c>
      <c r="H17" s="3">
        <v>2</v>
      </c>
      <c r="I17">
        <v>1</v>
      </c>
      <c r="J17">
        <v>1</v>
      </c>
      <c r="K17">
        <v>15</v>
      </c>
      <c r="L17" t="s">
        <v>25</v>
      </c>
      <c r="M17" t="s">
        <v>26</v>
      </c>
      <c r="N17">
        <v>92.8</v>
      </c>
      <c r="O17">
        <f>(35.2+35.5)/2</f>
        <v>35.35</v>
      </c>
      <c r="P17">
        <v>36</v>
      </c>
      <c r="Q17">
        <v>59</v>
      </c>
      <c r="R17">
        <v>61</v>
      </c>
      <c r="S17" t="s">
        <v>27</v>
      </c>
      <c r="T17">
        <f>45.15</f>
        <v>45.15</v>
      </c>
    </row>
    <row r="18" spans="1:20" x14ac:dyDescent="0.25">
      <c r="A18" t="s">
        <v>74</v>
      </c>
      <c r="B18" t="s">
        <v>75</v>
      </c>
      <c r="C18">
        <v>1</v>
      </c>
      <c r="D18" s="8">
        <v>43072</v>
      </c>
      <c r="E18" t="s">
        <v>223</v>
      </c>
      <c r="F18" t="s">
        <v>30</v>
      </c>
      <c r="G18" t="s">
        <v>76</v>
      </c>
      <c r="H18" s="3" t="s">
        <v>27</v>
      </c>
      <c r="I18">
        <v>2</v>
      </c>
      <c r="J18">
        <v>1</v>
      </c>
      <c r="K18" t="s">
        <v>31</v>
      </c>
      <c r="L18" t="s">
        <v>25</v>
      </c>
      <c r="M18" t="s">
        <v>26</v>
      </c>
      <c r="N18">
        <v>97</v>
      </c>
      <c r="O18">
        <f>(37.3+37.7)/2</f>
        <v>37.5</v>
      </c>
      <c r="P18">
        <v>37.4</v>
      </c>
      <c r="Q18">
        <v>66</v>
      </c>
      <c r="R18">
        <v>69</v>
      </c>
      <c r="S18" t="s">
        <v>27</v>
      </c>
      <c r="T18">
        <f>(48.8+49.1)/2</f>
        <v>48.95</v>
      </c>
    </row>
    <row r="19" spans="1:20" x14ac:dyDescent="0.25">
      <c r="A19" t="s">
        <v>77</v>
      </c>
      <c r="B19" t="s">
        <v>78</v>
      </c>
      <c r="C19">
        <v>1</v>
      </c>
      <c r="D19" s="8">
        <v>43072</v>
      </c>
      <c r="E19" t="s">
        <v>223</v>
      </c>
      <c r="F19" t="s">
        <v>30</v>
      </c>
      <c r="G19" t="s">
        <v>76</v>
      </c>
      <c r="H19" s="3" t="s">
        <v>27</v>
      </c>
      <c r="I19">
        <v>2</v>
      </c>
      <c r="J19">
        <v>1</v>
      </c>
      <c r="K19" t="s">
        <v>31</v>
      </c>
      <c r="L19" t="s">
        <v>25</v>
      </c>
      <c r="M19" t="s">
        <v>26</v>
      </c>
      <c r="N19">
        <v>97.3</v>
      </c>
      <c r="O19">
        <f>35.2</f>
        <v>35.200000000000003</v>
      </c>
      <c r="P19">
        <v>36</v>
      </c>
      <c r="Q19" t="s">
        <v>27</v>
      </c>
      <c r="R19">
        <v>60</v>
      </c>
      <c r="S19" t="s">
        <v>27</v>
      </c>
      <c r="T19">
        <v>47.35</v>
      </c>
    </row>
    <row r="20" spans="1:20" x14ac:dyDescent="0.25">
      <c r="A20" t="s">
        <v>79</v>
      </c>
      <c r="B20" t="s">
        <v>80</v>
      </c>
      <c r="C20">
        <v>1</v>
      </c>
      <c r="D20" s="8">
        <v>43074</v>
      </c>
      <c r="E20" t="s">
        <v>141</v>
      </c>
      <c r="F20" t="s">
        <v>81</v>
      </c>
      <c r="G20" t="s">
        <v>82</v>
      </c>
      <c r="H20" s="3">
        <v>3</v>
      </c>
      <c r="I20">
        <v>3</v>
      </c>
      <c r="J20">
        <v>1</v>
      </c>
      <c r="K20">
        <v>15</v>
      </c>
      <c r="L20" t="s">
        <v>25</v>
      </c>
      <c r="M20" t="s">
        <v>26</v>
      </c>
      <c r="N20">
        <v>70.5</v>
      </c>
      <c r="O20">
        <f>(32+32.3)/2</f>
        <v>32.15</v>
      </c>
      <c r="P20">
        <v>32</v>
      </c>
      <c r="Q20">
        <v>51</v>
      </c>
      <c r="R20">
        <v>52</v>
      </c>
      <c r="S20" t="s">
        <v>27</v>
      </c>
      <c r="T20">
        <f>(44.3+43.6)/2</f>
        <v>43.95</v>
      </c>
    </row>
    <row r="21" spans="1:20" s="9" customFormat="1" x14ac:dyDescent="0.25">
      <c r="A21" s="9" t="s">
        <v>83</v>
      </c>
      <c r="B21" s="9" t="s">
        <v>84</v>
      </c>
      <c r="C21" s="11" t="s">
        <v>22</v>
      </c>
      <c r="D21" s="10">
        <v>43074</v>
      </c>
      <c r="E21" s="9" t="s">
        <v>141</v>
      </c>
      <c r="F21" s="9" t="s">
        <v>81</v>
      </c>
      <c r="G21" s="9" t="s">
        <v>82</v>
      </c>
      <c r="H21" s="11">
        <v>3</v>
      </c>
      <c r="I21" s="9">
        <v>3</v>
      </c>
      <c r="J21" s="9">
        <v>2</v>
      </c>
      <c r="K21" s="9">
        <v>15</v>
      </c>
      <c r="L21" s="9" t="s">
        <v>25</v>
      </c>
      <c r="M21" s="9" t="s">
        <v>26</v>
      </c>
      <c r="N21" s="9">
        <v>76.599999999999994</v>
      </c>
      <c r="O21" s="9">
        <v>36.4</v>
      </c>
      <c r="P21" s="9">
        <f>(35.9+35.6)/2</f>
        <v>35.75</v>
      </c>
      <c r="Q21" s="9">
        <v>68</v>
      </c>
      <c r="R21" s="9">
        <v>69</v>
      </c>
      <c r="S21" s="9" t="s">
        <v>27</v>
      </c>
      <c r="T21" s="9">
        <f>(48.1+47.6)/2</f>
        <v>47.85</v>
      </c>
    </row>
    <row r="22" spans="1:20" x14ac:dyDescent="0.25">
      <c r="A22" t="s">
        <v>85</v>
      </c>
      <c r="B22" t="s">
        <v>86</v>
      </c>
      <c r="C22">
        <v>1</v>
      </c>
      <c r="D22" s="8">
        <v>43074</v>
      </c>
      <c r="E22" t="s">
        <v>141</v>
      </c>
      <c r="F22" t="s">
        <v>81</v>
      </c>
      <c r="G22" t="s">
        <v>82</v>
      </c>
      <c r="H22" s="3">
        <v>3</v>
      </c>
      <c r="I22">
        <v>3</v>
      </c>
      <c r="J22">
        <v>3</v>
      </c>
      <c r="K22">
        <v>15</v>
      </c>
      <c r="L22" t="s">
        <v>25</v>
      </c>
      <c r="M22" t="s">
        <v>26</v>
      </c>
      <c r="N22">
        <v>45.6</v>
      </c>
      <c r="O22">
        <v>33.15</v>
      </c>
      <c r="P22">
        <v>32.549999999999997</v>
      </c>
      <c r="Q22">
        <v>51</v>
      </c>
      <c r="R22">
        <v>50</v>
      </c>
      <c r="S22" t="s">
        <v>27</v>
      </c>
      <c r="T22">
        <f>43.15</f>
        <v>43.15</v>
      </c>
    </row>
    <row r="23" spans="1:20" x14ac:dyDescent="0.25">
      <c r="A23" t="s">
        <v>87</v>
      </c>
      <c r="B23" t="s">
        <v>88</v>
      </c>
      <c r="C23">
        <v>1</v>
      </c>
      <c r="D23" s="8">
        <v>43074</v>
      </c>
      <c r="E23" t="s">
        <v>166</v>
      </c>
      <c r="F23" t="s">
        <v>90</v>
      </c>
      <c r="G23" t="s">
        <v>91</v>
      </c>
      <c r="H23" s="3" t="s">
        <v>27</v>
      </c>
      <c r="I23">
        <v>2</v>
      </c>
      <c r="J23">
        <v>1</v>
      </c>
      <c r="K23" t="s">
        <v>31</v>
      </c>
      <c r="L23" t="s">
        <v>25</v>
      </c>
      <c r="M23" t="s">
        <v>26</v>
      </c>
      <c r="N23">
        <v>101.4</v>
      </c>
      <c r="O23">
        <v>35.799999999999997</v>
      </c>
      <c r="P23">
        <f>(35.6+35.2)/2</f>
        <v>35.400000000000006</v>
      </c>
      <c r="Q23">
        <v>64</v>
      </c>
      <c r="R23">
        <v>68</v>
      </c>
      <c r="S23" t="s">
        <v>27</v>
      </c>
      <c r="T23">
        <f>(51.6+50.2)/2</f>
        <v>50.900000000000006</v>
      </c>
    </row>
    <row r="24" spans="1:20" x14ac:dyDescent="0.25">
      <c r="A24" t="s">
        <v>92</v>
      </c>
      <c r="B24" t="s">
        <v>93</v>
      </c>
      <c r="C24">
        <v>1</v>
      </c>
      <c r="D24" s="8">
        <v>43074</v>
      </c>
      <c r="E24" t="s">
        <v>166</v>
      </c>
      <c r="F24" t="s">
        <v>90</v>
      </c>
      <c r="G24" t="s">
        <v>91</v>
      </c>
      <c r="H24" s="3" t="s">
        <v>27</v>
      </c>
      <c r="I24">
        <v>2</v>
      </c>
      <c r="J24">
        <v>2</v>
      </c>
      <c r="K24" t="s">
        <v>31</v>
      </c>
      <c r="L24" t="s">
        <v>25</v>
      </c>
      <c r="M24" t="s">
        <v>26</v>
      </c>
      <c r="N24">
        <v>109.8</v>
      </c>
      <c r="O24">
        <v>38.75</v>
      </c>
      <c r="P24">
        <v>37.25</v>
      </c>
      <c r="Q24">
        <v>74</v>
      </c>
      <c r="R24">
        <v>76</v>
      </c>
      <c r="S24" t="s">
        <v>27</v>
      </c>
      <c r="T24">
        <f>(50.2+49.8)/2</f>
        <v>50</v>
      </c>
    </row>
    <row r="25" spans="1:20" x14ac:dyDescent="0.25">
      <c r="A25" t="s">
        <v>94</v>
      </c>
      <c r="B25" t="s">
        <v>95</v>
      </c>
      <c r="C25">
        <v>1</v>
      </c>
      <c r="D25" s="8">
        <v>43080</v>
      </c>
      <c r="E25" t="s">
        <v>131</v>
      </c>
      <c r="F25" t="s">
        <v>96</v>
      </c>
      <c r="G25" t="s">
        <v>97</v>
      </c>
      <c r="H25" s="3" t="s">
        <v>27</v>
      </c>
      <c r="I25">
        <v>2</v>
      </c>
      <c r="J25">
        <v>1</v>
      </c>
      <c r="K25" t="s">
        <v>31</v>
      </c>
      <c r="L25" t="s">
        <v>25</v>
      </c>
      <c r="M25" t="s">
        <v>26</v>
      </c>
      <c r="N25">
        <v>99.6</v>
      </c>
      <c r="O25">
        <v>37.4</v>
      </c>
      <c r="P25">
        <v>36.6</v>
      </c>
      <c r="Q25">
        <v>83</v>
      </c>
      <c r="R25">
        <v>84</v>
      </c>
      <c r="S25" t="s">
        <v>27</v>
      </c>
      <c r="T25">
        <v>50.9</v>
      </c>
    </row>
    <row r="26" spans="1:20" x14ac:dyDescent="0.25">
      <c r="A26" t="s">
        <v>98</v>
      </c>
      <c r="B26" t="s">
        <v>99</v>
      </c>
      <c r="C26">
        <v>1</v>
      </c>
      <c r="D26" s="8">
        <v>43080</v>
      </c>
      <c r="E26" t="s">
        <v>131</v>
      </c>
      <c r="F26" t="s">
        <v>96</v>
      </c>
      <c r="G26" t="s">
        <v>97</v>
      </c>
      <c r="H26" s="3" t="s">
        <v>27</v>
      </c>
      <c r="I26">
        <v>2</v>
      </c>
      <c r="J26">
        <v>2</v>
      </c>
      <c r="K26" t="s">
        <v>31</v>
      </c>
      <c r="L26" t="s">
        <v>25</v>
      </c>
      <c r="M26" t="s">
        <v>26</v>
      </c>
      <c r="N26">
        <v>94.2</v>
      </c>
      <c r="O26">
        <f>(37.5+37.2)/2</f>
        <v>37.35</v>
      </c>
      <c r="P26">
        <v>37.049999999999997</v>
      </c>
      <c r="Q26">
        <v>79</v>
      </c>
      <c r="R26">
        <v>77</v>
      </c>
      <c r="S26" t="s">
        <v>27</v>
      </c>
      <c r="T26">
        <v>49.4</v>
      </c>
    </row>
    <row r="27" spans="1:20" x14ac:dyDescent="0.25">
      <c r="A27" t="s">
        <v>101</v>
      </c>
      <c r="B27" t="s">
        <v>102</v>
      </c>
      <c r="C27">
        <v>1</v>
      </c>
      <c r="D27" s="8">
        <v>43080</v>
      </c>
      <c r="E27" t="s">
        <v>244</v>
      </c>
      <c r="F27" t="s">
        <v>103</v>
      </c>
      <c r="G27" t="s">
        <v>30</v>
      </c>
      <c r="H27" s="3" t="s">
        <v>27</v>
      </c>
      <c r="I27">
        <v>2</v>
      </c>
      <c r="J27">
        <v>1</v>
      </c>
      <c r="K27" t="s">
        <v>31</v>
      </c>
      <c r="L27" t="s">
        <v>25</v>
      </c>
      <c r="M27" t="s">
        <v>26</v>
      </c>
      <c r="N27">
        <v>104.5</v>
      </c>
      <c r="O27">
        <f>(39.1+38.8)/2</f>
        <v>38.950000000000003</v>
      </c>
      <c r="P27">
        <v>38.799999999999997</v>
      </c>
      <c r="Q27">
        <v>71</v>
      </c>
      <c r="R27">
        <v>70</v>
      </c>
      <c r="S27" t="s">
        <v>27</v>
      </c>
      <c r="T27">
        <v>54.5</v>
      </c>
    </row>
    <row r="28" spans="1:20" x14ac:dyDescent="0.25">
      <c r="A28" t="s">
        <v>104</v>
      </c>
      <c r="B28" t="s">
        <v>105</v>
      </c>
      <c r="C28">
        <v>1</v>
      </c>
      <c r="D28" s="8">
        <v>43080</v>
      </c>
      <c r="E28" t="s">
        <v>244</v>
      </c>
      <c r="F28" t="s">
        <v>103</v>
      </c>
      <c r="G28" t="s">
        <v>30</v>
      </c>
      <c r="H28" s="3" t="s">
        <v>27</v>
      </c>
      <c r="I28">
        <v>2</v>
      </c>
      <c r="J28">
        <v>2</v>
      </c>
      <c r="K28" t="s">
        <v>31</v>
      </c>
      <c r="L28" t="s">
        <v>25</v>
      </c>
      <c r="M28" t="s">
        <v>26</v>
      </c>
      <c r="N28">
        <v>106.1</v>
      </c>
      <c r="O28">
        <f>(38.9+39.3)/2</f>
        <v>39.099999999999994</v>
      </c>
      <c r="P28">
        <v>39.85</v>
      </c>
      <c r="Q28">
        <v>78</v>
      </c>
      <c r="R28">
        <v>76</v>
      </c>
      <c r="S28" t="s">
        <v>27</v>
      </c>
      <c r="T28">
        <v>51.3</v>
      </c>
    </row>
    <row r="29" spans="1:20" x14ac:dyDescent="0.25">
      <c r="A29" t="s">
        <v>106</v>
      </c>
      <c r="B29" t="s">
        <v>107</v>
      </c>
      <c r="C29">
        <v>1</v>
      </c>
      <c r="D29" s="8">
        <v>43084</v>
      </c>
      <c r="E29" t="s">
        <v>309</v>
      </c>
      <c r="F29" t="s">
        <v>30</v>
      </c>
      <c r="G29" t="s">
        <v>108</v>
      </c>
      <c r="H29" s="3">
        <v>1</v>
      </c>
      <c r="I29">
        <v>1</v>
      </c>
      <c r="J29">
        <v>1</v>
      </c>
      <c r="K29">
        <v>16</v>
      </c>
      <c r="L29" t="s">
        <v>25</v>
      </c>
      <c r="M29" t="s">
        <v>26</v>
      </c>
      <c r="N29">
        <v>114.2</v>
      </c>
      <c r="O29">
        <f>(37.4+37.1)/2</f>
        <v>37.25</v>
      </c>
      <c r="P29">
        <v>37.6</v>
      </c>
      <c r="Q29">
        <v>72</v>
      </c>
      <c r="R29">
        <v>73</v>
      </c>
      <c r="S29" t="s">
        <v>27</v>
      </c>
      <c r="T29">
        <v>49.7</v>
      </c>
    </row>
    <row r="30" spans="1:20" x14ac:dyDescent="0.25">
      <c r="A30" t="s">
        <v>109</v>
      </c>
      <c r="B30" t="s">
        <v>110</v>
      </c>
      <c r="C30">
        <v>1</v>
      </c>
      <c r="D30" s="8">
        <v>43193</v>
      </c>
      <c r="E30" t="s">
        <v>34</v>
      </c>
      <c r="F30" t="s">
        <v>35</v>
      </c>
      <c r="G30" t="s">
        <v>36</v>
      </c>
      <c r="H30" s="3" t="s">
        <v>111</v>
      </c>
      <c r="I30">
        <v>3</v>
      </c>
      <c r="J30">
        <v>1</v>
      </c>
      <c r="K30">
        <v>16</v>
      </c>
      <c r="L30" t="s">
        <v>25</v>
      </c>
      <c r="M30" t="s">
        <v>26</v>
      </c>
      <c r="N30">
        <v>45.2</v>
      </c>
      <c r="O30">
        <v>33.700000000000003</v>
      </c>
      <c r="P30">
        <v>34</v>
      </c>
      <c r="Q30">
        <v>54</v>
      </c>
      <c r="R30">
        <v>52</v>
      </c>
      <c r="S30" t="s">
        <v>27</v>
      </c>
      <c r="T30">
        <v>43.6</v>
      </c>
    </row>
    <row r="31" spans="1:20" x14ac:dyDescent="0.25">
      <c r="A31" t="s">
        <v>112</v>
      </c>
      <c r="B31" t="s">
        <v>113</v>
      </c>
      <c r="C31">
        <v>1</v>
      </c>
      <c r="D31" s="8">
        <v>43404</v>
      </c>
      <c r="E31" t="s">
        <v>114</v>
      </c>
      <c r="F31" t="s">
        <v>30</v>
      </c>
      <c r="G31" t="s">
        <v>30</v>
      </c>
      <c r="H31" s="3" t="s">
        <v>27</v>
      </c>
      <c r="I31">
        <v>1</v>
      </c>
      <c r="J31">
        <v>1</v>
      </c>
      <c r="K31" s="6">
        <v>16</v>
      </c>
      <c r="L31" t="s">
        <v>25</v>
      </c>
      <c r="M31" t="s">
        <v>26</v>
      </c>
      <c r="N31">
        <v>72.400000000000006</v>
      </c>
      <c r="O31">
        <v>30.9</v>
      </c>
      <c r="P31">
        <f>(31.45+31.51)/2</f>
        <v>31.48</v>
      </c>
      <c r="Q31">
        <v>45</v>
      </c>
      <c r="R31">
        <v>45</v>
      </c>
      <c r="S31" t="s">
        <v>27</v>
      </c>
      <c r="T31">
        <f>(43.8+43.8)/2</f>
        <v>43.8</v>
      </c>
    </row>
    <row r="32" spans="1:20" x14ac:dyDescent="0.25">
      <c r="A32" t="s">
        <v>115</v>
      </c>
      <c r="B32" t="s">
        <v>116</v>
      </c>
      <c r="C32">
        <v>1</v>
      </c>
      <c r="D32" s="8">
        <v>43408</v>
      </c>
      <c r="E32" t="s">
        <v>117</v>
      </c>
      <c r="F32" t="s">
        <v>30</v>
      </c>
      <c r="G32" t="s">
        <v>30</v>
      </c>
      <c r="H32" s="3">
        <v>3</v>
      </c>
      <c r="I32">
        <v>1</v>
      </c>
      <c r="J32">
        <v>1</v>
      </c>
      <c r="K32" s="6">
        <v>17</v>
      </c>
      <c r="L32" t="s">
        <v>25</v>
      </c>
      <c r="M32" t="s">
        <v>26</v>
      </c>
      <c r="N32">
        <v>102.3</v>
      </c>
      <c r="O32">
        <v>38.9</v>
      </c>
      <c r="P32">
        <v>39</v>
      </c>
      <c r="Q32">
        <v>87</v>
      </c>
      <c r="R32">
        <v>86</v>
      </c>
      <c r="S32">
        <v>45</v>
      </c>
      <c r="T32">
        <f>(48.7+49.4)/2</f>
        <v>49.05</v>
      </c>
    </row>
    <row r="33" spans="1:20" x14ac:dyDescent="0.25">
      <c r="A33" t="s">
        <v>118</v>
      </c>
      <c r="B33" t="s">
        <v>119</v>
      </c>
      <c r="C33">
        <v>1</v>
      </c>
      <c r="D33" s="8">
        <v>43409</v>
      </c>
      <c r="E33" t="s">
        <v>120</v>
      </c>
      <c r="F33" t="s">
        <v>121</v>
      </c>
      <c r="G33" t="s">
        <v>24</v>
      </c>
      <c r="H33" s="3">
        <v>3</v>
      </c>
      <c r="I33">
        <v>1</v>
      </c>
      <c r="J33">
        <v>1</v>
      </c>
      <c r="K33" s="6">
        <v>16</v>
      </c>
      <c r="L33" t="s">
        <v>25</v>
      </c>
      <c r="M33" t="s">
        <v>26</v>
      </c>
      <c r="N33">
        <v>72.3</v>
      </c>
      <c r="O33">
        <f>(33.8+33.2)/2</f>
        <v>33.5</v>
      </c>
      <c r="P33">
        <v>33.1</v>
      </c>
      <c r="Q33">
        <v>61</v>
      </c>
      <c r="R33">
        <v>61</v>
      </c>
      <c r="S33">
        <v>18</v>
      </c>
      <c r="T33">
        <f>(43.6+42.6)/2</f>
        <v>43.1</v>
      </c>
    </row>
    <row r="34" spans="1:20" s="9" customFormat="1" x14ac:dyDescent="0.25">
      <c r="A34" s="9" t="s">
        <v>122</v>
      </c>
      <c r="B34" s="9" t="s">
        <v>123</v>
      </c>
      <c r="C34" s="9">
        <v>1</v>
      </c>
      <c r="D34" s="10">
        <v>43411</v>
      </c>
      <c r="E34" s="9" t="s">
        <v>124</v>
      </c>
      <c r="F34" s="9" t="s">
        <v>30</v>
      </c>
      <c r="G34" s="9" t="s">
        <v>125</v>
      </c>
      <c r="H34" s="11" t="s">
        <v>126</v>
      </c>
      <c r="I34" s="9">
        <v>2</v>
      </c>
      <c r="J34" s="9">
        <v>2</v>
      </c>
      <c r="K34" s="9">
        <v>17</v>
      </c>
      <c r="L34" s="9" t="s">
        <v>25</v>
      </c>
      <c r="M34" s="9" t="s">
        <v>26</v>
      </c>
      <c r="N34" s="9">
        <v>73.5</v>
      </c>
      <c r="O34" s="9">
        <v>33.1</v>
      </c>
      <c r="P34" s="9">
        <v>33.299999999999997</v>
      </c>
      <c r="Q34" s="9">
        <v>62</v>
      </c>
      <c r="R34" s="9">
        <v>64</v>
      </c>
      <c r="S34" s="9">
        <v>22</v>
      </c>
      <c r="T34" s="9">
        <f>(44+43.6)/2</f>
        <v>43.8</v>
      </c>
    </row>
    <row r="35" spans="1:20" x14ac:dyDescent="0.25">
      <c r="A35" t="s">
        <v>127</v>
      </c>
      <c r="B35" t="s">
        <v>128</v>
      </c>
      <c r="C35">
        <v>1</v>
      </c>
      <c r="D35" s="8">
        <v>43411</v>
      </c>
      <c r="E35" t="s">
        <v>124</v>
      </c>
      <c r="F35" t="s">
        <v>30</v>
      </c>
      <c r="G35" t="s">
        <v>125</v>
      </c>
      <c r="H35" s="3" t="s">
        <v>126</v>
      </c>
      <c r="I35">
        <v>2</v>
      </c>
      <c r="J35">
        <v>1</v>
      </c>
      <c r="K35" s="6">
        <v>17</v>
      </c>
      <c r="L35" t="s">
        <v>25</v>
      </c>
      <c r="M35" t="s">
        <v>26</v>
      </c>
      <c r="N35">
        <v>85.8</v>
      </c>
      <c r="O35">
        <v>36.200000000000003</v>
      </c>
      <c r="P35">
        <f>(36.7+36.6)/2</f>
        <v>36.650000000000006</v>
      </c>
      <c r="Q35">
        <v>75</v>
      </c>
      <c r="R35">
        <v>75</v>
      </c>
      <c r="S35">
        <v>30</v>
      </c>
      <c r="T35">
        <f>(45.8+45.5)/2</f>
        <v>45.65</v>
      </c>
    </row>
    <row r="36" spans="1:20" x14ac:dyDescent="0.25">
      <c r="A36" t="s">
        <v>129</v>
      </c>
      <c r="B36" t="s">
        <v>130</v>
      </c>
      <c r="C36">
        <v>1</v>
      </c>
      <c r="D36" s="8">
        <v>43411</v>
      </c>
      <c r="E36" t="s">
        <v>131</v>
      </c>
      <c r="F36" t="s">
        <v>96</v>
      </c>
      <c r="G36" t="s">
        <v>97</v>
      </c>
      <c r="H36" s="3">
        <v>2</v>
      </c>
      <c r="I36">
        <v>2</v>
      </c>
      <c r="J36">
        <v>1</v>
      </c>
      <c r="K36" s="6">
        <v>17</v>
      </c>
      <c r="L36" t="s">
        <v>25</v>
      </c>
      <c r="M36" t="s">
        <v>26</v>
      </c>
      <c r="N36">
        <v>110</v>
      </c>
      <c r="O36">
        <v>37.1</v>
      </c>
      <c r="P36">
        <v>36.4</v>
      </c>
      <c r="Q36">
        <v>85</v>
      </c>
      <c r="R36">
        <v>86</v>
      </c>
      <c r="S36">
        <v>49</v>
      </c>
      <c r="T36">
        <f>(48.9+47.8)/2</f>
        <v>48.349999999999994</v>
      </c>
    </row>
    <row r="37" spans="1:20" x14ac:dyDescent="0.25">
      <c r="A37" t="s">
        <v>132</v>
      </c>
      <c r="B37" t="s">
        <v>133</v>
      </c>
      <c r="C37">
        <v>1</v>
      </c>
      <c r="D37" s="8">
        <v>43411</v>
      </c>
      <c r="E37" t="s">
        <v>131</v>
      </c>
      <c r="F37" t="s">
        <v>96</v>
      </c>
      <c r="G37" t="s">
        <v>97</v>
      </c>
      <c r="H37" s="3">
        <v>2</v>
      </c>
      <c r="I37">
        <v>2</v>
      </c>
      <c r="J37">
        <v>2</v>
      </c>
      <c r="K37" s="6">
        <v>17</v>
      </c>
      <c r="L37" t="s">
        <v>25</v>
      </c>
      <c r="M37" t="s">
        <v>26</v>
      </c>
      <c r="N37">
        <f>152.9-32.9</f>
        <v>120</v>
      </c>
      <c r="O37">
        <v>37.4</v>
      </c>
      <c r="P37">
        <v>37.4</v>
      </c>
      <c r="Q37">
        <v>81</v>
      </c>
      <c r="R37">
        <v>81</v>
      </c>
      <c r="S37">
        <v>34</v>
      </c>
      <c r="T37">
        <f>(49.2+48.9)/2</f>
        <v>49.05</v>
      </c>
    </row>
    <row r="38" spans="1:20" x14ac:dyDescent="0.25">
      <c r="A38">
        <v>598844</v>
      </c>
      <c r="B38" t="s">
        <v>134</v>
      </c>
      <c r="C38">
        <v>1</v>
      </c>
      <c r="D38" s="8">
        <v>43412</v>
      </c>
      <c r="E38" t="s">
        <v>135</v>
      </c>
      <c r="F38" t="s">
        <v>30</v>
      </c>
      <c r="G38" t="s">
        <v>41</v>
      </c>
      <c r="H38" s="3">
        <v>1</v>
      </c>
      <c r="I38">
        <v>1</v>
      </c>
      <c r="J38">
        <v>1</v>
      </c>
      <c r="K38" s="6">
        <v>17</v>
      </c>
      <c r="L38" t="s">
        <v>25</v>
      </c>
      <c r="M38" t="s">
        <v>26</v>
      </c>
      <c r="N38">
        <v>105</v>
      </c>
      <c r="O38">
        <v>36.1</v>
      </c>
      <c r="P38">
        <v>35.5</v>
      </c>
      <c r="Q38">
        <v>69</v>
      </c>
      <c r="R38">
        <v>69</v>
      </c>
      <c r="S38">
        <v>25</v>
      </c>
      <c r="T38">
        <f>(47.2+47.2)/2</f>
        <v>47.2</v>
      </c>
    </row>
    <row r="39" spans="1:20" s="9" customFormat="1" x14ac:dyDescent="0.25">
      <c r="A39" s="9" t="s">
        <v>136</v>
      </c>
      <c r="B39" s="9" t="s">
        <v>137</v>
      </c>
      <c r="C39" s="9">
        <v>1</v>
      </c>
      <c r="D39" s="10">
        <v>43413</v>
      </c>
      <c r="E39" s="9" t="s">
        <v>138</v>
      </c>
      <c r="F39" s="9" t="s">
        <v>54</v>
      </c>
      <c r="G39" s="9" t="s">
        <v>30</v>
      </c>
      <c r="H39" s="11">
        <v>2</v>
      </c>
      <c r="I39" s="9">
        <v>2</v>
      </c>
      <c r="J39" s="9">
        <v>1</v>
      </c>
      <c r="K39" s="9">
        <v>17</v>
      </c>
      <c r="L39" s="9" t="s">
        <v>25</v>
      </c>
      <c r="M39" s="9" t="s">
        <v>26</v>
      </c>
      <c r="N39" s="9">
        <v>64</v>
      </c>
      <c r="O39" s="9">
        <f>(32.3+33.2)/2</f>
        <v>32.75</v>
      </c>
      <c r="P39" s="9">
        <f>(33.5+33.1)/2</f>
        <v>33.299999999999997</v>
      </c>
      <c r="Q39" s="9">
        <v>62</v>
      </c>
      <c r="R39" s="9">
        <v>63</v>
      </c>
      <c r="S39" s="9">
        <v>18</v>
      </c>
      <c r="T39" s="9">
        <f>(43.1+43.3)/2</f>
        <v>43.2</v>
      </c>
    </row>
    <row r="40" spans="1:20" x14ac:dyDescent="0.25">
      <c r="A40" t="s">
        <v>139</v>
      </c>
      <c r="B40" t="s">
        <v>140</v>
      </c>
      <c r="C40">
        <v>1</v>
      </c>
      <c r="D40" s="8">
        <v>43419</v>
      </c>
      <c r="E40" t="s">
        <v>141</v>
      </c>
      <c r="F40" t="s">
        <v>81</v>
      </c>
      <c r="G40" t="s">
        <v>82</v>
      </c>
      <c r="H40" s="3">
        <v>3</v>
      </c>
      <c r="I40">
        <v>2</v>
      </c>
      <c r="J40">
        <v>1</v>
      </c>
      <c r="K40" s="6">
        <v>17</v>
      </c>
      <c r="L40" t="s">
        <v>25</v>
      </c>
      <c r="M40" t="s">
        <v>26</v>
      </c>
      <c r="N40">
        <v>75.3</v>
      </c>
      <c r="O40">
        <v>36.200000000000003</v>
      </c>
      <c r="P40">
        <v>36.1</v>
      </c>
      <c r="Q40">
        <v>75</v>
      </c>
      <c r="R40">
        <v>76</v>
      </c>
      <c r="S40">
        <v>29</v>
      </c>
      <c r="T40">
        <f>(45.5+45.9)/2</f>
        <v>45.7</v>
      </c>
    </row>
    <row r="41" spans="1:20" s="9" customFormat="1" x14ac:dyDescent="0.25">
      <c r="A41" s="9" t="s">
        <v>142</v>
      </c>
      <c r="B41" s="9" t="s">
        <v>143</v>
      </c>
      <c r="C41" s="9">
        <v>1</v>
      </c>
      <c r="D41" s="10">
        <v>43419</v>
      </c>
      <c r="E41" s="9" t="s">
        <v>141</v>
      </c>
      <c r="F41" s="9" t="s">
        <v>81</v>
      </c>
      <c r="G41" s="9" t="s">
        <v>82</v>
      </c>
      <c r="H41" s="11">
        <v>3</v>
      </c>
      <c r="I41" s="9">
        <v>2</v>
      </c>
      <c r="J41" s="9">
        <v>2</v>
      </c>
      <c r="K41" s="9">
        <v>16</v>
      </c>
      <c r="L41" s="9" t="s">
        <v>25</v>
      </c>
      <c r="M41" s="9" t="s">
        <v>26</v>
      </c>
      <c r="N41" s="9">
        <v>62.4</v>
      </c>
      <c r="O41" s="9">
        <v>33.6</v>
      </c>
      <c r="P41" s="9">
        <v>33.200000000000003</v>
      </c>
      <c r="Q41" s="9">
        <v>60</v>
      </c>
      <c r="R41" s="9">
        <v>61</v>
      </c>
      <c r="S41" s="9">
        <v>22</v>
      </c>
      <c r="T41" s="9">
        <f>(43.8+44)/2</f>
        <v>43.9</v>
      </c>
    </row>
    <row r="42" spans="1:20" x14ac:dyDescent="0.25">
      <c r="A42" t="s">
        <v>144</v>
      </c>
      <c r="B42" t="s">
        <v>145</v>
      </c>
      <c r="C42">
        <v>1</v>
      </c>
      <c r="D42" s="8">
        <v>43425</v>
      </c>
      <c r="E42" t="s">
        <v>146</v>
      </c>
      <c r="F42" t="s">
        <v>30</v>
      </c>
      <c r="G42" t="s">
        <v>30</v>
      </c>
      <c r="H42" s="3">
        <v>3</v>
      </c>
      <c r="I42">
        <v>2</v>
      </c>
      <c r="J42">
        <v>1</v>
      </c>
      <c r="K42" s="6">
        <v>17</v>
      </c>
      <c r="L42" t="s">
        <v>25</v>
      </c>
      <c r="M42" t="s">
        <v>26</v>
      </c>
      <c r="N42">
        <v>84</v>
      </c>
      <c r="O42">
        <v>34.299999999999997</v>
      </c>
      <c r="P42">
        <v>34.1</v>
      </c>
      <c r="Q42">
        <v>63</v>
      </c>
      <c r="R42">
        <v>64</v>
      </c>
      <c r="S42">
        <v>25</v>
      </c>
      <c r="T42">
        <f>(45.2+45.1)/2</f>
        <v>45.150000000000006</v>
      </c>
    </row>
    <row r="43" spans="1:20" x14ac:dyDescent="0.25">
      <c r="A43">
        <v>598821</v>
      </c>
      <c r="B43" t="s">
        <v>147</v>
      </c>
      <c r="C43">
        <v>1</v>
      </c>
      <c r="D43" s="8">
        <v>43425</v>
      </c>
      <c r="E43" t="s">
        <v>146</v>
      </c>
      <c r="F43" t="s">
        <v>30</v>
      </c>
      <c r="G43" t="s">
        <v>30</v>
      </c>
      <c r="H43" s="3">
        <v>3</v>
      </c>
      <c r="I43">
        <v>2</v>
      </c>
      <c r="J43">
        <v>2</v>
      </c>
      <c r="K43" s="6">
        <v>17</v>
      </c>
      <c r="L43" t="s">
        <v>25</v>
      </c>
      <c r="M43" t="s">
        <v>26</v>
      </c>
      <c r="N43">
        <v>91.1</v>
      </c>
      <c r="O43">
        <v>34.9</v>
      </c>
      <c r="P43">
        <v>35</v>
      </c>
      <c r="Q43">
        <v>69</v>
      </c>
      <c r="R43">
        <v>71</v>
      </c>
      <c r="S43">
        <v>28</v>
      </c>
      <c r="T43">
        <f>(45.6+46.2)/2</f>
        <v>45.900000000000006</v>
      </c>
    </row>
    <row r="44" spans="1:20" x14ac:dyDescent="0.25">
      <c r="A44">
        <v>598822</v>
      </c>
      <c r="B44" t="s">
        <v>148</v>
      </c>
      <c r="C44">
        <v>1</v>
      </c>
      <c r="D44" s="8">
        <v>43428</v>
      </c>
      <c r="E44" t="s">
        <v>149</v>
      </c>
      <c r="F44" t="s">
        <v>30</v>
      </c>
      <c r="G44" t="s">
        <v>47</v>
      </c>
      <c r="H44" s="3">
        <v>2</v>
      </c>
      <c r="I44">
        <v>2</v>
      </c>
      <c r="J44">
        <v>1</v>
      </c>
      <c r="K44" s="6">
        <v>17</v>
      </c>
      <c r="L44" t="s">
        <v>25</v>
      </c>
      <c r="M44" t="s">
        <v>26</v>
      </c>
      <c r="N44">
        <v>114.1</v>
      </c>
      <c r="O44">
        <v>37.200000000000003</v>
      </c>
      <c r="P44">
        <v>37.299999999999997</v>
      </c>
      <c r="Q44">
        <v>78</v>
      </c>
      <c r="R44">
        <v>79</v>
      </c>
      <c r="S44">
        <v>45</v>
      </c>
      <c r="T44">
        <f>(47.4+47.6)/2</f>
        <v>47.5</v>
      </c>
    </row>
    <row r="45" spans="1:20" x14ac:dyDescent="0.25">
      <c r="A45">
        <v>598823</v>
      </c>
      <c r="B45" t="s">
        <v>150</v>
      </c>
      <c r="C45">
        <v>1</v>
      </c>
      <c r="D45" s="8">
        <v>43428</v>
      </c>
      <c r="E45" t="s">
        <v>149</v>
      </c>
      <c r="F45" t="s">
        <v>30</v>
      </c>
      <c r="G45" t="s">
        <v>47</v>
      </c>
      <c r="H45" s="3">
        <v>2</v>
      </c>
      <c r="I45">
        <v>2</v>
      </c>
      <c r="J45">
        <v>2</v>
      </c>
      <c r="K45" s="6">
        <v>17</v>
      </c>
      <c r="L45" t="s">
        <v>25</v>
      </c>
      <c r="M45" t="s">
        <v>26</v>
      </c>
      <c r="N45">
        <v>117.8</v>
      </c>
      <c r="O45">
        <v>38.5</v>
      </c>
      <c r="P45">
        <v>38.700000000000003</v>
      </c>
      <c r="Q45">
        <v>80</v>
      </c>
      <c r="R45">
        <v>80</v>
      </c>
      <c r="S45">
        <v>40</v>
      </c>
      <c r="T45">
        <f>(47.1+47.1)/2</f>
        <v>47.1</v>
      </c>
    </row>
    <row r="46" spans="1:20" x14ac:dyDescent="0.25">
      <c r="A46">
        <v>598824</v>
      </c>
      <c r="B46" t="s">
        <v>151</v>
      </c>
      <c r="C46">
        <v>1</v>
      </c>
      <c r="D46" s="8">
        <v>43429</v>
      </c>
      <c r="E46" t="s">
        <v>152</v>
      </c>
      <c r="F46" t="s">
        <v>100</v>
      </c>
      <c r="G46" t="s">
        <v>30</v>
      </c>
      <c r="H46" s="3" t="s">
        <v>153</v>
      </c>
      <c r="I46">
        <v>1</v>
      </c>
      <c r="J46">
        <v>1</v>
      </c>
      <c r="K46" s="6">
        <v>17</v>
      </c>
      <c r="L46" t="s">
        <v>25</v>
      </c>
      <c r="M46" t="s">
        <v>26</v>
      </c>
      <c r="N46">
        <v>119.7</v>
      </c>
      <c r="O46">
        <v>37.6</v>
      </c>
      <c r="P46">
        <v>38.1</v>
      </c>
      <c r="Q46">
        <v>80</v>
      </c>
      <c r="R46">
        <v>81</v>
      </c>
      <c r="S46">
        <v>41</v>
      </c>
      <c r="T46">
        <f>(47.6+48.2)/2</f>
        <v>47.900000000000006</v>
      </c>
    </row>
    <row r="47" spans="1:20" x14ac:dyDescent="0.25">
      <c r="A47" t="s">
        <v>154</v>
      </c>
      <c r="B47" t="s">
        <v>155</v>
      </c>
      <c r="C47">
        <v>1</v>
      </c>
      <c r="D47" s="8">
        <v>43437</v>
      </c>
      <c r="E47" t="s">
        <v>156</v>
      </c>
      <c r="F47" t="s">
        <v>30</v>
      </c>
      <c r="G47" t="s">
        <v>157</v>
      </c>
      <c r="H47" s="3">
        <v>2</v>
      </c>
      <c r="I47">
        <v>2</v>
      </c>
      <c r="J47">
        <v>1</v>
      </c>
      <c r="K47" s="6">
        <v>17</v>
      </c>
      <c r="L47" t="s">
        <v>25</v>
      </c>
      <c r="M47" t="s">
        <v>26</v>
      </c>
      <c r="N47">
        <v>102.6</v>
      </c>
      <c r="O47">
        <v>37.1</v>
      </c>
      <c r="P47">
        <v>38.1</v>
      </c>
      <c r="Q47">
        <v>79</v>
      </c>
      <c r="R47">
        <v>80</v>
      </c>
      <c r="S47">
        <v>34</v>
      </c>
      <c r="T47">
        <f>(48.6+48.6)/2</f>
        <v>48.6</v>
      </c>
    </row>
    <row r="48" spans="1:20" x14ac:dyDescent="0.25">
      <c r="A48">
        <v>598825</v>
      </c>
      <c r="B48" t="s">
        <v>158</v>
      </c>
      <c r="C48">
        <v>1</v>
      </c>
      <c r="D48" s="8">
        <v>43437</v>
      </c>
      <c r="E48" t="s">
        <v>156</v>
      </c>
      <c r="F48" t="s">
        <v>30</v>
      </c>
      <c r="G48" t="s">
        <v>157</v>
      </c>
      <c r="H48" s="3">
        <v>2</v>
      </c>
      <c r="I48">
        <v>2</v>
      </c>
      <c r="J48">
        <v>2</v>
      </c>
      <c r="K48" s="6">
        <v>17</v>
      </c>
      <c r="L48" t="s">
        <v>25</v>
      </c>
      <c r="M48" t="s">
        <v>26</v>
      </c>
      <c r="N48">
        <v>104.5</v>
      </c>
      <c r="O48">
        <v>38.9</v>
      </c>
      <c r="P48">
        <v>39.700000000000003</v>
      </c>
      <c r="Q48">
        <v>83</v>
      </c>
      <c r="R48">
        <v>87</v>
      </c>
      <c r="S48">
        <v>37</v>
      </c>
      <c r="T48">
        <f>(49.5+49.4)/2</f>
        <v>49.45</v>
      </c>
    </row>
    <row r="49" spans="1:20" x14ac:dyDescent="0.25">
      <c r="A49" t="s">
        <v>159</v>
      </c>
      <c r="B49" t="s">
        <v>160</v>
      </c>
      <c r="C49">
        <v>1</v>
      </c>
      <c r="D49" s="8">
        <v>43439</v>
      </c>
      <c r="E49" t="s">
        <v>161</v>
      </c>
      <c r="F49" t="s">
        <v>162</v>
      </c>
      <c r="G49" t="s">
        <v>30</v>
      </c>
      <c r="H49" s="3">
        <v>2</v>
      </c>
      <c r="I49">
        <v>2</v>
      </c>
      <c r="J49">
        <v>1</v>
      </c>
      <c r="K49" s="6">
        <v>17</v>
      </c>
      <c r="L49" t="s">
        <v>25</v>
      </c>
      <c r="M49" t="s">
        <v>26</v>
      </c>
      <c r="N49">
        <v>92</v>
      </c>
      <c r="O49">
        <v>35.200000000000003</v>
      </c>
      <c r="P49">
        <v>34.799999999999997</v>
      </c>
      <c r="Q49">
        <v>60</v>
      </c>
      <c r="R49">
        <v>57</v>
      </c>
      <c r="S49">
        <v>27</v>
      </c>
      <c r="T49">
        <f>(44.8+45.2)/2</f>
        <v>45</v>
      </c>
    </row>
    <row r="50" spans="1:20" x14ac:dyDescent="0.25">
      <c r="A50" t="s">
        <v>163</v>
      </c>
      <c r="B50" t="s">
        <v>164</v>
      </c>
      <c r="C50">
        <v>1</v>
      </c>
      <c r="D50" s="8">
        <v>43439</v>
      </c>
      <c r="E50" t="s">
        <v>161</v>
      </c>
      <c r="F50" t="s">
        <v>162</v>
      </c>
      <c r="G50" t="s">
        <v>30</v>
      </c>
      <c r="H50" s="3">
        <v>2</v>
      </c>
      <c r="I50">
        <v>2</v>
      </c>
      <c r="J50">
        <v>2</v>
      </c>
      <c r="K50" s="6">
        <v>17</v>
      </c>
      <c r="L50" t="s">
        <v>25</v>
      </c>
      <c r="M50" t="s">
        <v>26</v>
      </c>
      <c r="N50">
        <v>93.1</v>
      </c>
      <c r="O50">
        <v>33.65</v>
      </c>
      <c r="P50">
        <v>34</v>
      </c>
      <c r="Q50">
        <v>60</v>
      </c>
      <c r="R50">
        <v>59</v>
      </c>
      <c r="S50">
        <v>20</v>
      </c>
      <c r="T50">
        <f>(43.5+43.3)/2</f>
        <v>43.4</v>
      </c>
    </row>
    <row r="51" spans="1:20" x14ac:dyDescent="0.25">
      <c r="A51">
        <v>598826</v>
      </c>
      <c r="B51" t="s">
        <v>165</v>
      </c>
      <c r="C51">
        <v>1</v>
      </c>
      <c r="D51" s="8">
        <v>43446</v>
      </c>
      <c r="E51" t="s">
        <v>166</v>
      </c>
      <c r="F51" t="s">
        <v>90</v>
      </c>
      <c r="G51" t="s">
        <v>91</v>
      </c>
      <c r="H51" s="3">
        <v>3</v>
      </c>
      <c r="I51">
        <v>3</v>
      </c>
      <c r="J51">
        <v>1</v>
      </c>
      <c r="K51" s="6">
        <v>17</v>
      </c>
      <c r="L51" t="s">
        <v>25</v>
      </c>
      <c r="M51" t="s">
        <v>26</v>
      </c>
      <c r="N51">
        <v>112.7</v>
      </c>
      <c r="O51">
        <v>39.799999999999997</v>
      </c>
      <c r="P51">
        <v>40.799999999999997</v>
      </c>
      <c r="Q51">
        <v>87</v>
      </c>
      <c r="R51">
        <v>88</v>
      </c>
      <c r="S51">
        <v>39</v>
      </c>
      <c r="T51">
        <f>(51.7+51.1)/2</f>
        <v>51.400000000000006</v>
      </c>
    </row>
    <row r="52" spans="1:20" x14ac:dyDescent="0.25">
      <c r="A52" t="s">
        <v>167</v>
      </c>
      <c r="B52" t="s">
        <v>168</v>
      </c>
      <c r="C52">
        <v>1</v>
      </c>
      <c r="D52" s="8">
        <v>43446</v>
      </c>
      <c r="E52" t="s">
        <v>166</v>
      </c>
      <c r="F52" t="s">
        <v>90</v>
      </c>
      <c r="G52" t="s">
        <v>91</v>
      </c>
      <c r="H52" s="3">
        <v>3</v>
      </c>
      <c r="I52">
        <v>3</v>
      </c>
      <c r="J52">
        <v>2</v>
      </c>
      <c r="K52" s="6">
        <v>17</v>
      </c>
      <c r="L52" t="s">
        <v>25</v>
      </c>
      <c r="M52" t="s">
        <v>26</v>
      </c>
      <c r="N52">
        <v>100.2</v>
      </c>
      <c r="O52">
        <v>38.700000000000003</v>
      </c>
      <c r="P52">
        <v>39.1</v>
      </c>
      <c r="Q52">
        <v>86</v>
      </c>
      <c r="R52">
        <v>86</v>
      </c>
      <c r="S52">
        <v>44</v>
      </c>
      <c r="T52">
        <f>(50.8+50.5)/2</f>
        <v>50.65</v>
      </c>
    </row>
    <row r="53" spans="1:20" x14ac:dyDescent="0.25">
      <c r="A53">
        <v>598827</v>
      </c>
      <c r="B53" t="s">
        <v>169</v>
      </c>
      <c r="C53">
        <v>1</v>
      </c>
      <c r="D53" s="8">
        <v>43446</v>
      </c>
      <c r="E53" t="s">
        <v>166</v>
      </c>
      <c r="F53" t="s">
        <v>90</v>
      </c>
      <c r="G53" t="s">
        <v>91</v>
      </c>
      <c r="H53" s="3">
        <v>3</v>
      </c>
      <c r="I53">
        <v>3</v>
      </c>
      <c r="J53">
        <v>3</v>
      </c>
      <c r="K53" s="6">
        <v>17</v>
      </c>
      <c r="L53" t="s">
        <v>25</v>
      </c>
      <c r="M53" t="s">
        <v>26</v>
      </c>
      <c r="N53">
        <v>95.6</v>
      </c>
      <c r="O53">
        <f>(36.7+37)/2</f>
        <v>36.85</v>
      </c>
      <c r="P53">
        <v>36.950000000000003</v>
      </c>
      <c r="Q53">
        <v>76</v>
      </c>
      <c r="R53">
        <v>76</v>
      </c>
      <c r="S53">
        <v>35</v>
      </c>
      <c r="T53">
        <f>(48.8+48.5)/2</f>
        <v>48.65</v>
      </c>
    </row>
    <row r="54" spans="1:20" x14ac:dyDescent="0.25">
      <c r="A54" t="s">
        <v>170</v>
      </c>
      <c r="B54" t="s">
        <v>171</v>
      </c>
      <c r="C54">
        <v>1</v>
      </c>
      <c r="D54" s="8">
        <v>43760</v>
      </c>
      <c r="E54" t="s">
        <v>156</v>
      </c>
      <c r="F54" t="s">
        <v>30</v>
      </c>
      <c r="G54" t="s">
        <v>30</v>
      </c>
      <c r="H54" s="3">
        <v>3</v>
      </c>
      <c r="I54">
        <v>1</v>
      </c>
      <c r="J54">
        <v>1</v>
      </c>
      <c r="K54" s="6">
        <v>17</v>
      </c>
      <c r="L54" t="s">
        <v>25</v>
      </c>
      <c r="M54" t="s">
        <v>26</v>
      </c>
      <c r="N54">
        <v>92.8</v>
      </c>
      <c r="O54">
        <v>36.4</v>
      </c>
      <c r="P54">
        <v>36.700000000000003</v>
      </c>
      <c r="Q54">
        <v>69</v>
      </c>
      <c r="R54">
        <v>68</v>
      </c>
      <c r="S54">
        <v>21</v>
      </c>
      <c r="T54">
        <f>(46.2+45.6)/2</f>
        <v>45.900000000000006</v>
      </c>
    </row>
    <row r="55" spans="1:20" x14ac:dyDescent="0.25">
      <c r="A55" t="s">
        <v>172</v>
      </c>
      <c r="B55" t="s">
        <v>173</v>
      </c>
      <c r="C55">
        <v>1</v>
      </c>
      <c r="D55" s="8">
        <v>43761</v>
      </c>
      <c r="E55" t="s">
        <v>174</v>
      </c>
      <c r="F55" t="s">
        <v>30</v>
      </c>
      <c r="G55" t="s">
        <v>30</v>
      </c>
      <c r="H55" s="3">
        <v>3</v>
      </c>
      <c r="I55">
        <v>2</v>
      </c>
      <c r="J55">
        <v>1</v>
      </c>
      <c r="K55" s="6">
        <v>17</v>
      </c>
      <c r="L55" t="s">
        <v>25</v>
      </c>
      <c r="M55" t="s">
        <v>26</v>
      </c>
      <c r="N55">
        <v>73.599999999999994</v>
      </c>
      <c r="O55">
        <v>35.299999999999997</v>
      </c>
      <c r="P55">
        <v>35.200000000000003</v>
      </c>
      <c r="Q55">
        <v>72</v>
      </c>
      <c r="R55">
        <v>73</v>
      </c>
      <c r="S55">
        <v>26</v>
      </c>
      <c r="T55">
        <f>(45.3+44.1)/2</f>
        <v>44.7</v>
      </c>
    </row>
    <row r="56" spans="1:20" x14ac:dyDescent="0.25">
      <c r="A56" t="s">
        <v>175</v>
      </c>
      <c r="B56" t="s">
        <v>176</v>
      </c>
      <c r="C56">
        <v>1</v>
      </c>
      <c r="D56" s="8">
        <v>43761</v>
      </c>
      <c r="E56" t="s">
        <v>174</v>
      </c>
      <c r="F56" t="s">
        <v>30</v>
      </c>
      <c r="G56" t="s">
        <v>30</v>
      </c>
      <c r="H56" s="3">
        <v>3</v>
      </c>
      <c r="I56">
        <v>2</v>
      </c>
      <c r="J56">
        <v>2</v>
      </c>
      <c r="K56" s="6">
        <v>17</v>
      </c>
      <c r="L56" t="s">
        <v>25</v>
      </c>
      <c r="M56" t="s">
        <v>26</v>
      </c>
      <c r="N56">
        <v>58.8</v>
      </c>
      <c r="O56">
        <f>(33.6+33.6)/2</f>
        <v>33.6</v>
      </c>
      <c r="P56">
        <f>(33.8+33.7)/2</f>
        <v>33.75</v>
      </c>
      <c r="Q56">
        <v>58</v>
      </c>
      <c r="R56">
        <v>57</v>
      </c>
      <c r="S56">
        <v>15</v>
      </c>
      <c r="T56">
        <f>(44+44.3)/2</f>
        <v>44.15</v>
      </c>
    </row>
    <row r="57" spans="1:20" x14ac:dyDescent="0.25">
      <c r="A57" t="s">
        <v>177</v>
      </c>
      <c r="B57" t="s">
        <v>178</v>
      </c>
      <c r="C57">
        <v>1</v>
      </c>
      <c r="D57" s="8">
        <v>43762</v>
      </c>
      <c r="E57" t="s">
        <v>179</v>
      </c>
      <c r="F57" t="s">
        <v>54</v>
      </c>
      <c r="G57" t="s">
        <v>30</v>
      </c>
      <c r="H57" s="3">
        <v>2</v>
      </c>
      <c r="I57">
        <v>2</v>
      </c>
      <c r="J57">
        <v>1</v>
      </c>
      <c r="K57" s="6">
        <v>17</v>
      </c>
      <c r="L57" t="s">
        <v>25</v>
      </c>
      <c r="M57" t="s">
        <v>26</v>
      </c>
      <c r="N57">
        <v>56.1</v>
      </c>
      <c r="O57">
        <v>39.299999999999997</v>
      </c>
      <c r="P57">
        <v>39.200000000000003</v>
      </c>
      <c r="Q57">
        <v>55</v>
      </c>
      <c r="R57">
        <v>54</v>
      </c>
      <c r="S57">
        <v>18</v>
      </c>
      <c r="T57">
        <f>(40.7+41.3)/2</f>
        <v>41</v>
      </c>
    </row>
    <row r="58" spans="1:20" s="14" customFormat="1" x14ac:dyDescent="0.25">
      <c r="A58" s="14" t="s">
        <v>180</v>
      </c>
      <c r="B58" s="14" t="s">
        <v>181</v>
      </c>
      <c r="C58" s="14">
        <v>1</v>
      </c>
      <c r="D58" s="15">
        <v>43762</v>
      </c>
      <c r="E58" s="14" t="s">
        <v>179</v>
      </c>
      <c r="F58" s="14" t="s">
        <v>54</v>
      </c>
      <c r="G58" s="14" t="s">
        <v>30</v>
      </c>
      <c r="H58" s="16">
        <v>2</v>
      </c>
      <c r="I58" s="14">
        <v>2</v>
      </c>
      <c r="J58" s="14">
        <v>2</v>
      </c>
      <c r="K58" s="14">
        <v>17</v>
      </c>
      <c r="L58" s="14" t="s">
        <v>25</v>
      </c>
      <c r="M58" s="14" t="s">
        <v>26</v>
      </c>
      <c r="N58" s="14">
        <v>48.7</v>
      </c>
      <c r="O58" s="14">
        <f>(30.1+30)/2</f>
        <v>30.05</v>
      </c>
      <c r="P58" s="14">
        <f>(30.6+30.4)/2</f>
        <v>30.5</v>
      </c>
      <c r="Q58" s="14">
        <v>51</v>
      </c>
      <c r="R58" s="14">
        <v>52</v>
      </c>
      <c r="S58" s="14">
        <v>18</v>
      </c>
      <c r="T58" s="14">
        <f>(39.5+39.6)/2</f>
        <v>39.549999999999997</v>
      </c>
    </row>
    <row r="59" spans="1:20" x14ac:dyDescent="0.25">
      <c r="A59">
        <v>598833</v>
      </c>
      <c r="B59" t="s">
        <v>182</v>
      </c>
      <c r="C59">
        <v>1</v>
      </c>
      <c r="D59" s="8">
        <v>43763</v>
      </c>
      <c r="E59" t="s">
        <v>183</v>
      </c>
      <c r="F59" t="s">
        <v>30</v>
      </c>
      <c r="G59" t="s">
        <v>184</v>
      </c>
      <c r="H59" s="3">
        <v>3</v>
      </c>
      <c r="I59">
        <v>3</v>
      </c>
      <c r="J59">
        <v>1</v>
      </c>
      <c r="K59" s="6">
        <v>17</v>
      </c>
      <c r="L59" t="s">
        <v>25</v>
      </c>
      <c r="M59" t="s">
        <v>26</v>
      </c>
      <c r="N59">
        <v>65.8</v>
      </c>
      <c r="O59">
        <f>(31.4+31.4)/2</f>
        <v>31.4</v>
      </c>
      <c r="P59">
        <f>(31.7+31.8)/2</f>
        <v>31.75</v>
      </c>
      <c r="Q59">
        <v>47</v>
      </c>
      <c r="R59">
        <v>46</v>
      </c>
      <c r="S59">
        <v>11</v>
      </c>
      <c r="T59">
        <f>(44.4+44.4)/2</f>
        <v>44.4</v>
      </c>
    </row>
    <row r="60" spans="1:20" x14ac:dyDescent="0.25">
      <c r="A60">
        <v>598834</v>
      </c>
      <c r="B60" t="s">
        <v>185</v>
      </c>
      <c r="C60">
        <v>1</v>
      </c>
      <c r="D60" s="8">
        <v>43763</v>
      </c>
      <c r="E60" t="s">
        <v>183</v>
      </c>
      <c r="F60" t="s">
        <v>30</v>
      </c>
      <c r="G60" t="s">
        <v>184</v>
      </c>
      <c r="H60" s="3">
        <v>3</v>
      </c>
      <c r="I60">
        <v>3</v>
      </c>
      <c r="J60">
        <v>2</v>
      </c>
      <c r="K60" s="6">
        <v>17</v>
      </c>
      <c r="L60" t="s">
        <v>25</v>
      </c>
      <c r="M60" t="s">
        <v>26</v>
      </c>
      <c r="N60">
        <v>75.900000000000006</v>
      </c>
      <c r="O60">
        <f>(33.4+33.3)/2</f>
        <v>33.349999999999994</v>
      </c>
      <c r="P60">
        <f>(35.5+35.6)/2</f>
        <v>35.549999999999997</v>
      </c>
      <c r="Q60">
        <v>62</v>
      </c>
      <c r="R60">
        <v>65</v>
      </c>
      <c r="S60">
        <v>21</v>
      </c>
      <c r="T60">
        <f>(46.7+46.6)/2</f>
        <v>46.650000000000006</v>
      </c>
    </row>
    <row r="61" spans="1:20" s="9" customFormat="1" x14ac:dyDescent="0.25">
      <c r="A61" s="9">
        <v>598835</v>
      </c>
      <c r="B61" s="9" t="s">
        <v>186</v>
      </c>
      <c r="C61" s="9">
        <v>1</v>
      </c>
      <c r="D61" s="10">
        <v>43763</v>
      </c>
      <c r="E61" s="9" t="s">
        <v>183</v>
      </c>
      <c r="F61" s="9" t="s">
        <v>30</v>
      </c>
      <c r="G61" s="9" t="s">
        <v>184</v>
      </c>
      <c r="H61" s="11">
        <v>3</v>
      </c>
      <c r="I61" s="9">
        <v>3</v>
      </c>
      <c r="J61" s="9">
        <v>3</v>
      </c>
      <c r="K61" s="9">
        <v>17</v>
      </c>
      <c r="L61" s="9" t="s">
        <v>25</v>
      </c>
      <c r="M61" s="9" t="s">
        <v>26</v>
      </c>
      <c r="N61" s="9">
        <v>56.7</v>
      </c>
      <c r="O61" s="9">
        <f>(28.5+28.9)/2</f>
        <v>28.7</v>
      </c>
      <c r="P61" s="9">
        <f>(28.8+29.1)/2</f>
        <v>28.950000000000003</v>
      </c>
      <c r="Q61" s="9">
        <v>40</v>
      </c>
      <c r="R61" s="9">
        <v>42</v>
      </c>
      <c r="S61" s="9">
        <v>9</v>
      </c>
      <c r="T61" s="9">
        <f>(40.1+40.8)/2</f>
        <v>40.450000000000003</v>
      </c>
    </row>
    <row r="62" spans="1:20" x14ac:dyDescent="0.25">
      <c r="A62">
        <v>598836</v>
      </c>
      <c r="B62" t="s">
        <v>187</v>
      </c>
      <c r="C62">
        <v>1</v>
      </c>
      <c r="D62" s="8">
        <v>43764</v>
      </c>
      <c r="E62" t="s">
        <v>188</v>
      </c>
      <c r="F62" t="s">
        <v>30</v>
      </c>
      <c r="G62" t="s">
        <v>30</v>
      </c>
      <c r="H62" s="3">
        <v>3</v>
      </c>
      <c r="I62">
        <v>1</v>
      </c>
      <c r="J62">
        <v>1</v>
      </c>
      <c r="K62" s="6">
        <v>17</v>
      </c>
      <c r="L62" t="s">
        <v>25</v>
      </c>
      <c r="M62" t="s">
        <v>26</v>
      </c>
      <c r="N62">
        <v>91.2</v>
      </c>
      <c r="O62">
        <f>(36.3+35.8)/2</f>
        <v>36.049999999999997</v>
      </c>
      <c r="P62">
        <f>(36.9+36.6)/2</f>
        <v>36.75</v>
      </c>
      <c r="Q62">
        <v>72</v>
      </c>
      <c r="R62">
        <v>71</v>
      </c>
      <c r="S62">
        <v>26</v>
      </c>
      <c r="T62">
        <f>(46.1+45.6)/2</f>
        <v>45.85</v>
      </c>
    </row>
    <row r="63" spans="1:20" x14ac:dyDescent="0.25">
      <c r="A63">
        <v>598837</v>
      </c>
      <c r="B63" t="s">
        <v>189</v>
      </c>
      <c r="C63">
        <v>1</v>
      </c>
      <c r="D63" s="8">
        <v>43764</v>
      </c>
      <c r="E63" t="s">
        <v>124</v>
      </c>
      <c r="F63" t="s">
        <v>30</v>
      </c>
      <c r="G63" t="s">
        <v>125</v>
      </c>
      <c r="H63" s="3" t="s">
        <v>126</v>
      </c>
      <c r="I63">
        <v>1</v>
      </c>
      <c r="J63">
        <v>1</v>
      </c>
      <c r="K63" s="6">
        <v>17</v>
      </c>
      <c r="L63" t="s">
        <v>25</v>
      </c>
      <c r="M63" t="s">
        <v>26</v>
      </c>
      <c r="N63">
        <v>64.400000000000006</v>
      </c>
      <c r="O63">
        <f>(33.5+33.6)/2</f>
        <v>33.549999999999997</v>
      </c>
      <c r="P63">
        <f>(33.6+33.4)/2</f>
        <v>33.5</v>
      </c>
      <c r="Q63">
        <v>64</v>
      </c>
      <c r="R63">
        <v>65</v>
      </c>
      <c r="S63">
        <v>18</v>
      </c>
      <c r="T63">
        <f>(43.3+43.4)/2</f>
        <v>43.349999999999994</v>
      </c>
    </row>
    <row r="64" spans="1:20" x14ac:dyDescent="0.25">
      <c r="A64">
        <v>598838</v>
      </c>
      <c r="B64" t="s">
        <v>190</v>
      </c>
      <c r="C64">
        <v>1</v>
      </c>
      <c r="D64" s="8">
        <v>43767</v>
      </c>
      <c r="E64" t="s">
        <v>131</v>
      </c>
      <c r="F64" t="s">
        <v>191</v>
      </c>
      <c r="G64" t="s">
        <v>97</v>
      </c>
      <c r="H64" s="3">
        <v>2</v>
      </c>
      <c r="I64">
        <v>1</v>
      </c>
      <c r="J64">
        <v>1</v>
      </c>
      <c r="K64" s="6">
        <v>17</v>
      </c>
      <c r="L64" t="s">
        <v>25</v>
      </c>
      <c r="M64" t="s">
        <v>26</v>
      </c>
      <c r="N64">
        <v>114.4</v>
      </c>
      <c r="O64">
        <f>(38.1+38.1)/2</f>
        <v>38.1</v>
      </c>
      <c r="P64">
        <f>(38.7+38.6)/2</f>
        <v>38.650000000000006</v>
      </c>
      <c r="Q64">
        <v>82</v>
      </c>
      <c r="R64">
        <v>83</v>
      </c>
      <c r="S64">
        <v>44</v>
      </c>
      <c r="T64">
        <f>(47.9+47.8)/2</f>
        <v>47.849999999999994</v>
      </c>
    </row>
    <row r="65" spans="1:20" s="9" customFormat="1" x14ac:dyDescent="0.25">
      <c r="A65" s="9">
        <v>598839</v>
      </c>
      <c r="B65" s="9" t="s">
        <v>192</v>
      </c>
      <c r="C65" s="9">
        <v>1</v>
      </c>
      <c r="D65" s="10">
        <v>43769</v>
      </c>
      <c r="E65" s="9" t="s">
        <v>114</v>
      </c>
      <c r="F65" s="9" t="s">
        <v>30</v>
      </c>
      <c r="G65" s="9" t="s">
        <v>30</v>
      </c>
      <c r="H65" s="11">
        <v>2</v>
      </c>
      <c r="I65" s="9">
        <v>1</v>
      </c>
      <c r="J65" s="9">
        <v>1</v>
      </c>
      <c r="K65" s="9">
        <v>17</v>
      </c>
      <c r="L65" s="9" t="s">
        <v>25</v>
      </c>
      <c r="M65" s="9" t="s">
        <v>26</v>
      </c>
      <c r="N65" s="9">
        <v>99.6</v>
      </c>
      <c r="O65" s="9">
        <f>(37.2+36.9)/2</f>
        <v>37.049999999999997</v>
      </c>
      <c r="P65" s="9">
        <f>(37.5+37.1)/2</f>
        <v>37.299999999999997</v>
      </c>
      <c r="Q65" s="9">
        <v>69</v>
      </c>
      <c r="R65" s="9">
        <v>73</v>
      </c>
      <c r="S65" s="9">
        <v>27</v>
      </c>
      <c r="T65" s="9">
        <f>(48.2+48)/2</f>
        <v>48.1</v>
      </c>
    </row>
    <row r="66" spans="1:20" x14ac:dyDescent="0.25">
      <c r="A66">
        <v>598840</v>
      </c>
      <c r="B66" t="s">
        <v>193</v>
      </c>
      <c r="C66">
        <v>1</v>
      </c>
      <c r="D66" s="8">
        <v>43769</v>
      </c>
      <c r="E66" t="s">
        <v>149</v>
      </c>
      <c r="F66" t="s">
        <v>30</v>
      </c>
      <c r="G66" t="s">
        <v>47</v>
      </c>
      <c r="H66" s="3">
        <v>3</v>
      </c>
      <c r="I66">
        <v>3</v>
      </c>
      <c r="J66">
        <v>1</v>
      </c>
      <c r="K66" s="6">
        <v>17</v>
      </c>
      <c r="L66" t="s">
        <v>25</v>
      </c>
      <c r="M66" t="s">
        <v>26</v>
      </c>
      <c r="N66">
        <v>104.5</v>
      </c>
      <c r="O66">
        <v>36</v>
      </c>
      <c r="P66">
        <v>36.1</v>
      </c>
      <c r="Q66">
        <v>65</v>
      </c>
      <c r="R66">
        <v>67</v>
      </c>
      <c r="S66">
        <v>19</v>
      </c>
      <c r="T66">
        <v>44.9</v>
      </c>
    </row>
    <row r="67" spans="1:20" x14ac:dyDescent="0.25">
      <c r="A67" t="s">
        <v>194</v>
      </c>
      <c r="B67" t="s">
        <v>195</v>
      </c>
      <c r="C67">
        <v>1</v>
      </c>
      <c r="D67" s="8">
        <v>43769</v>
      </c>
      <c r="E67" t="s">
        <v>149</v>
      </c>
      <c r="F67" t="s">
        <v>30</v>
      </c>
      <c r="G67" t="s">
        <v>47</v>
      </c>
      <c r="H67" s="3">
        <v>3</v>
      </c>
      <c r="I67">
        <v>3</v>
      </c>
      <c r="J67">
        <v>2</v>
      </c>
      <c r="K67" s="6">
        <v>17</v>
      </c>
      <c r="L67" t="s">
        <v>25</v>
      </c>
      <c r="M67" t="s">
        <v>26</v>
      </c>
      <c r="N67">
        <v>111.2</v>
      </c>
      <c r="O67">
        <v>37.299999999999997</v>
      </c>
      <c r="P67">
        <v>36.799999999999997</v>
      </c>
      <c r="Q67">
        <v>74</v>
      </c>
      <c r="R67">
        <v>76</v>
      </c>
      <c r="S67">
        <v>27</v>
      </c>
      <c r="T67">
        <v>45.9</v>
      </c>
    </row>
    <row r="68" spans="1:20" x14ac:dyDescent="0.25">
      <c r="A68" t="s">
        <v>196</v>
      </c>
      <c r="B68" t="s">
        <v>197</v>
      </c>
      <c r="C68">
        <v>1</v>
      </c>
      <c r="D68" s="8">
        <v>43769</v>
      </c>
      <c r="E68" t="s">
        <v>149</v>
      </c>
      <c r="F68" t="s">
        <v>30</v>
      </c>
      <c r="G68" t="s">
        <v>47</v>
      </c>
      <c r="H68" s="3">
        <v>3</v>
      </c>
      <c r="I68">
        <v>3</v>
      </c>
      <c r="J68">
        <v>3</v>
      </c>
      <c r="K68" s="6">
        <v>17</v>
      </c>
      <c r="L68" t="s">
        <v>25</v>
      </c>
      <c r="M68" t="s">
        <v>26</v>
      </c>
      <c r="N68">
        <v>105.5</v>
      </c>
      <c r="O68">
        <v>35.6</v>
      </c>
      <c r="P68">
        <v>35.299999999999997</v>
      </c>
      <c r="Q68">
        <v>70</v>
      </c>
      <c r="R68">
        <v>70</v>
      </c>
      <c r="S68">
        <v>35</v>
      </c>
      <c r="T68">
        <v>46.9</v>
      </c>
    </row>
    <row r="69" spans="1:20" s="17" customFormat="1" x14ac:dyDescent="0.25">
      <c r="A69" s="17" t="s">
        <v>198</v>
      </c>
      <c r="B69" s="17" t="s">
        <v>199</v>
      </c>
      <c r="C69" s="17">
        <v>1</v>
      </c>
      <c r="D69" s="18">
        <v>43769</v>
      </c>
      <c r="E69" s="17" t="s">
        <v>200</v>
      </c>
      <c r="F69" s="17" t="s">
        <v>30</v>
      </c>
      <c r="G69" s="17" t="s">
        <v>201</v>
      </c>
      <c r="H69" s="19">
        <v>3</v>
      </c>
      <c r="I69" s="17">
        <v>2</v>
      </c>
      <c r="J69" s="17">
        <v>1</v>
      </c>
      <c r="K69" s="17" t="s">
        <v>202</v>
      </c>
      <c r="L69" s="17" t="s">
        <v>25</v>
      </c>
      <c r="M69" s="17" t="s">
        <v>26</v>
      </c>
      <c r="N69" s="17">
        <v>55.1</v>
      </c>
      <c r="O69" s="17">
        <f>(34.5+34.9)/2</f>
        <v>34.700000000000003</v>
      </c>
      <c r="P69" s="17">
        <f>(33.7+33.8)/2</f>
        <v>33.75</v>
      </c>
      <c r="Q69" s="17">
        <v>64</v>
      </c>
      <c r="R69" s="17">
        <v>65</v>
      </c>
      <c r="S69" s="17">
        <v>27</v>
      </c>
      <c r="T69" s="17">
        <v>44</v>
      </c>
    </row>
    <row r="70" spans="1:20" s="17" customFormat="1" x14ac:dyDescent="0.25">
      <c r="A70" s="17" t="s">
        <v>203</v>
      </c>
      <c r="B70" s="17" t="s">
        <v>204</v>
      </c>
      <c r="C70" s="17">
        <v>1</v>
      </c>
      <c r="D70" s="18">
        <v>43769</v>
      </c>
      <c r="E70" s="17" t="s">
        <v>200</v>
      </c>
      <c r="F70" s="17" t="s">
        <v>30</v>
      </c>
      <c r="G70" s="17" t="s">
        <v>201</v>
      </c>
      <c r="H70" s="19">
        <v>3</v>
      </c>
      <c r="I70" s="17">
        <v>2</v>
      </c>
      <c r="J70" s="17">
        <v>2</v>
      </c>
      <c r="K70" s="17" t="s">
        <v>202</v>
      </c>
      <c r="L70" s="17" t="s">
        <v>25</v>
      </c>
      <c r="M70" s="17" t="s">
        <v>26</v>
      </c>
      <c r="N70" s="17">
        <v>49.8</v>
      </c>
      <c r="O70" s="17">
        <v>33.299999999999997</v>
      </c>
      <c r="P70" s="17">
        <v>33.700000000000003</v>
      </c>
      <c r="Q70" s="17">
        <v>61</v>
      </c>
      <c r="R70" s="17">
        <v>60</v>
      </c>
      <c r="S70" s="17">
        <v>28</v>
      </c>
      <c r="T70" s="17">
        <v>43.3</v>
      </c>
    </row>
    <row r="71" spans="1:20" x14ac:dyDescent="0.25">
      <c r="A71" t="s">
        <v>205</v>
      </c>
      <c r="B71" t="s">
        <v>206</v>
      </c>
      <c r="C71">
        <v>1</v>
      </c>
      <c r="D71" s="8">
        <v>43772</v>
      </c>
      <c r="E71" t="s">
        <v>169</v>
      </c>
      <c r="F71" t="s">
        <v>30</v>
      </c>
      <c r="G71" t="s">
        <v>82</v>
      </c>
      <c r="H71" s="3">
        <v>3</v>
      </c>
      <c r="I71">
        <v>1</v>
      </c>
      <c r="J71">
        <v>1</v>
      </c>
      <c r="K71" s="6">
        <v>17</v>
      </c>
      <c r="L71" t="s">
        <v>25</v>
      </c>
      <c r="M71" t="s">
        <v>26</v>
      </c>
      <c r="N71">
        <v>95.3</v>
      </c>
      <c r="O71">
        <f>(35.8+35.8)/2</f>
        <v>35.799999999999997</v>
      </c>
      <c r="P71">
        <f>(35.8+35.9)/2</f>
        <v>35.849999999999994</v>
      </c>
      <c r="Q71">
        <v>60</v>
      </c>
      <c r="R71">
        <v>60</v>
      </c>
      <c r="S71">
        <v>23</v>
      </c>
      <c r="T71">
        <f>(44.5+44.3)/2</f>
        <v>44.4</v>
      </c>
    </row>
    <row r="72" spans="1:20" x14ac:dyDescent="0.25">
      <c r="A72" t="s">
        <v>207</v>
      </c>
      <c r="B72" t="s">
        <v>208</v>
      </c>
      <c r="C72">
        <v>1</v>
      </c>
      <c r="D72" s="8">
        <v>43773</v>
      </c>
      <c r="E72" t="s">
        <v>209</v>
      </c>
      <c r="F72" t="s">
        <v>100</v>
      </c>
      <c r="G72" t="s">
        <v>30</v>
      </c>
      <c r="H72" s="3">
        <v>3</v>
      </c>
      <c r="I72">
        <v>3</v>
      </c>
      <c r="J72">
        <v>1</v>
      </c>
      <c r="K72" s="6" t="s">
        <v>210</v>
      </c>
      <c r="L72" t="s">
        <v>25</v>
      </c>
      <c r="M72" t="s">
        <v>26</v>
      </c>
      <c r="N72">
        <v>84.3</v>
      </c>
      <c r="O72">
        <f>(36.2+36.2)/2</f>
        <v>36.200000000000003</v>
      </c>
      <c r="P72">
        <f>(36.5+36.3)/2</f>
        <v>36.4</v>
      </c>
      <c r="Q72">
        <v>90</v>
      </c>
      <c r="R72">
        <v>91</v>
      </c>
      <c r="S72">
        <v>45</v>
      </c>
      <c r="T72">
        <f>(48.2+48.6)/2</f>
        <v>48.400000000000006</v>
      </c>
    </row>
    <row r="73" spans="1:20" x14ac:dyDescent="0.25">
      <c r="A73" t="s">
        <v>211</v>
      </c>
      <c r="B73" t="s">
        <v>212</v>
      </c>
      <c r="C73">
        <v>1</v>
      </c>
      <c r="D73" s="8">
        <v>43773</v>
      </c>
      <c r="E73" t="s">
        <v>209</v>
      </c>
      <c r="F73" t="s">
        <v>100</v>
      </c>
      <c r="G73" t="s">
        <v>30</v>
      </c>
      <c r="H73" s="3">
        <v>3</v>
      </c>
      <c r="I73">
        <v>3</v>
      </c>
      <c r="J73">
        <v>2</v>
      </c>
      <c r="K73" s="6" t="s">
        <v>210</v>
      </c>
      <c r="L73" t="s">
        <v>25</v>
      </c>
      <c r="M73" t="s">
        <v>26</v>
      </c>
      <c r="N73">
        <v>78</v>
      </c>
      <c r="O73">
        <f>(38.2+38.2)/2</f>
        <v>38.200000000000003</v>
      </c>
      <c r="P73">
        <f>(37.7+37.5)/2</f>
        <v>37.6</v>
      </c>
      <c r="Q73">
        <v>87</v>
      </c>
      <c r="R73">
        <v>85</v>
      </c>
      <c r="S73">
        <v>38</v>
      </c>
      <c r="T73">
        <f>(49+48.6)/2</f>
        <v>48.8</v>
      </c>
    </row>
    <row r="74" spans="1:20" s="9" customFormat="1" x14ac:dyDescent="0.25">
      <c r="A74" s="9" t="s">
        <v>213</v>
      </c>
      <c r="B74" s="9" t="s">
        <v>214</v>
      </c>
      <c r="C74" s="9">
        <v>1</v>
      </c>
      <c r="D74" s="10">
        <v>43773</v>
      </c>
      <c r="E74" s="9" t="s">
        <v>209</v>
      </c>
      <c r="F74" s="9" t="s">
        <v>100</v>
      </c>
      <c r="G74" s="9" t="s">
        <v>30</v>
      </c>
      <c r="H74" s="11">
        <v>3</v>
      </c>
      <c r="I74" s="9">
        <v>3</v>
      </c>
      <c r="J74" s="9">
        <v>3</v>
      </c>
      <c r="K74" s="9" t="s">
        <v>210</v>
      </c>
      <c r="L74" s="9" t="s">
        <v>25</v>
      </c>
      <c r="M74" s="9" t="s">
        <v>26</v>
      </c>
      <c r="N74" s="9">
        <v>60.5</v>
      </c>
      <c r="O74" s="9">
        <f>(34.4+34.4)/2</f>
        <v>34.4</v>
      </c>
      <c r="P74" s="9">
        <f>(34.5+34.2)/2</f>
        <v>34.35</v>
      </c>
      <c r="Q74" s="9">
        <v>72</v>
      </c>
      <c r="R74" s="9">
        <v>74</v>
      </c>
      <c r="S74" s="9">
        <v>29</v>
      </c>
      <c r="T74" s="9">
        <f>(45.4+45)/2</f>
        <v>45.2</v>
      </c>
    </row>
    <row r="75" spans="1:20" x14ac:dyDescent="0.25">
      <c r="A75" t="s">
        <v>215</v>
      </c>
      <c r="B75" t="s">
        <v>216</v>
      </c>
      <c r="C75">
        <v>1</v>
      </c>
      <c r="D75" s="8">
        <v>43774</v>
      </c>
      <c r="E75" t="s">
        <v>217</v>
      </c>
      <c r="F75" t="s">
        <v>218</v>
      </c>
      <c r="G75" t="s">
        <v>30</v>
      </c>
      <c r="H75" s="3">
        <v>3</v>
      </c>
      <c r="I75">
        <v>2</v>
      </c>
      <c r="J75">
        <v>1</v>
      </c>
      <c r="K75" s="6" t="s">
        <v>210</v>
      </c>
      <c r="L75" t="s">
        <v>25</v>
      </c>
      <c r="M75" t="s">
        <v>26</v>
      </c>
      <c r="N75">
        <v>92.1</v>
      </c>
      <c r="O75">
        <v>35.799999999999997</v>
      </c>
      <c r="P75">
        <v>35.5</v>
      </c>
      <c r="Q75">
        <v>65</v>
      </c>
      <c r="R75">
        <v>68</v>
      </c>
      <c r="S75">
        <v>22</v>
      </c>
      <c r="T75">
        <v>45.3</v>
      </c>
    </row>
    <row r="76" spans="1:20" x14ac:dyDescent="0.25">
      <c r="A76" t="s">
        <v>219</v>
      </c>
      <c r="B76" t="s">
        <v>220</v>
      </c>
      <c r="C76">
        <v>1</v>
      </c>
      <c r="D76" s="8">
        <v>43774</v>
      </c>
      <c r="E76" t="s">
        <v>217</v>
      </c>
      <c r="F76" t="s">
        <v>218</v>
      </c>
      <c r="G76" t="s">
        <v>30</v>
      </c>
      <c r="H76" s="3">
        <v>3</v>
      </c>
      <c r="I76">
        <v>2</v>
      </c>
      <c r="J76">
        <v>2</v>
      </c>
      <c r="K76" s="6" t="s">
        <v>210</v>
      </c>
      <c r="L76" t="s">
        <v>25</v>
      </c>
      <c r="M76" t="s">
        <v>26</v>
      </c>
      <c r="N76">
        <v>86.1</v>
      </c>
      <c r="O76">
        <v>34.200000000000003</v>
      </c>
      <c r="P76">
        <v>34.6</v>
      </c>
      <c r="Q76">
        <v>62</v>
      </c>
      <c r="R76">
        <v>64</v>
      </c>
      <c r="S76">
        <v>21</v>
      </c>
      <c r="T76">
        <v>46</v>
      </c>
    </row>
    <row r="77" spans="1:20" s="9" customFormat="1" x14ac:dyDescent="0.25">
      <c r="A77" s="9" t="s">
        <v>221</v>
      </c>
      <c r="B77" s="9" t="s">
        <v>222</v>
      </c>
      <c r="C77" s="9">
        <v>1</v>
      </c>
      <c r="D77" s="10">
        <v>43774</v>
      </c>
      <c r="E77" s="9" t="s">
        <v>223</v>
      </c>
      <c r="F77" s="9" t="s">
        <v>224</v>
      </c>
      <c r="G77" s="9" t="s">
        <v>76</v>
      </c>
      <c r="H77" s="11">
        <v>3</v>
      </c>
      <c r="I77" s="9">
        <v>3</v>
      </c>
      <c r="J77" s="9">
        <v>1</v>
      </c>
      <c r="K77" s="9">
        <v>17</v>
      </c>
      <c r="L77" s="9" t="s">
        <v>25</v>
      </c>
      <c r="M77" s="9" t="s">
        <v>26</v>
      </c>
      <c r="N77" s="9">
        <v>60.3</v>
      </c>
      <c r="O77" s="9">
        <f>(32.9+32.3)/2</f>
        <v>32.599999999999994</v>
      </c>
      <c r="P77" s="9">
        <f>(30.1+31)/2</f>
        <v>30.55</v>
      </c>
      <c r="Q77" s="9">
        <v>51</v>
      </c>
      <c r="R77" s="9">
        <v>50</v>
      </c>
      <c r="S77" s="9">
        <v>13</v>
      </c>
      <c r="T77" s="9">
        <f>(43.8+44.1)/2</f>
        <v>43.95</v>
      </c>
    </row>
    <row r="78" spans="1:20" x14ac:dyDescent="0.25">
      <c r="A78" t="s">
        <v>225</v>
      </c>
      <c r="B78" t="s">
        <v>226</v>
      </c>
      <c r="C78">
        <v>1</v>
      </c>
      <c r="D78" s="8">
        <v>43774</v>
      </c>
      <c r="E78" t="s">
        <v>223</v>
      </c>
      <c r="F78" t="s">
        <v>224</v>
      </c>
      <c r="G78" t="s">
        <v>76</v>
      </c>
      <c r="H78" s="3">
        <v>3</v>
      </c>
      <c r="I78">
        <v>3</v>
      </c>
      <c r="J78">
        <v>2</v>
      </c>
      <c r="K78" s="6">
        <v>17</v>
      </c>
      <c r="L78" t="s">
        <v>25</v>
      </c>
      <c r="M78" t="s">
        <v>26</v>
      </c>
      <c r="N78">
        <v>99.9</v>
      </c>
      <c r="O78">
        <f>(37.4+37.2)/2</f>
        <v>37.299999999999997</v>
      </c>
      <c r="P78">
        <f>(36.3+36.7)/2</f>
        <v>36.5</v>
      </c>
      <c r="Q78">
        <v>72</v>
      </c>
      <c r="R78">
        <v>77</v>
      </c>
      <c r="S78">
        <v>32</v>
      </c>
      <c r="T78">
        <f>(48+47.5)/2</f>
        <v>47.75</v>
      </c>
    </row>
    <row r="79" spans="1:20" x14ac:dyDescent="0.25">
      <c r="A79" t="s">
        <v>227</v>
      </c>
      <c r="B79" t="s">
        <v>228</v>
      </c>
      <c r="C79">
        <v>1</v>
      </c>
      <c r="D79" s="8">
        <v>43774</v>
      </c>
      <c r="E79" t="s">
        <v>223</v>
      </c>
      <c r="F79" t="s">
        <v>224</v>
      </c>
      <c r="G79" t="s">
        <v>76</v>
      </c>
      <c r="H79" s="3">
        <v>3</v>
      </c>
      <c r="I79">
        <v>3</v>
      </c>
      <c r="J79">
        <v>3</v>
      </c>
      <c r="K79" s="6">
        <v>17</v>
      </c>
      <c r="L79" t="s">
        <v>25</v>
      </c>
      <c r="M79" t="s">
        <v>26</v>
      </c>
      <c r="N79">
        <v>95</v>
      </c>
      <c r="O79" s="13">
        <f>(30.7+30.7)/2</f>
        <v>30.7</v>
      </c>
      <c r="P79" s="13">
        <f>(30.7+30.7)/2</f>
        <v>30.7</v>
      </c>
      <c r="Q79">
        <v>70</v>
      </c>
      <c r="R79">
        <v>74</v>
      </c>
      <c r="S79">
        <v>34</v>
      </c>
      <c r="T79" s="12">
        <f>(47.8+47.9)/2</f>
        <v>47.849999999999994</v>
      </c>
    </row>
    <row r="80" spans="1:20" x14ac:dyDescent="0.25">
      <c r="A80" t="s">
        <v>229</v>
      </c>
      <c r="B80" t="s">
        <v>230</v>
      </c>
      <c r="C80">
        <v>1</v>
      </c>
      <c r="D80" s="8">
        <v>43775</v>
      </c>
      <c r="E80" t="s">
        <v>231</v>
      </c>
      <c r="F80" t="s">
        <v>232</v>
      </c>
      <c r="G80" t="s">
        <v>233</v>
      </c>
      <c r="H80" s="3">
        <v>2</v>
      </c>
      <c r="I80">
        <v>2</v>
      </c>
      <c r="J80">
        <v>1</v>
      </c>
      <c r="K80" s="6">
        <v>18</v>
      </c>
      <c r="L80" t="s">
        <v>25</v>
      </c>
      <c r="M80" t="s">
        <v>26</v>
      </c>
      <c r="N80">
        <v>64.8</v>
      </c>
      <c r="O80">
        <f>(34.7+34.8)/2</f>
        <v>34.75</v>
      </c>
      <c r="P80">
        <f>(34.5+34.7)/2</f>
        <v>34.6</v>
      </c>
      <c r="Q80">
        <v>60</v>
      </c>
      <c r="R80">
        <v>61</v>
      </c>
      <c r="S80">
        <v>20</v>
      </c>
      <c r="T80">
        <f>(42.8+43)/2</f>
        <v>42.9</v>
      </c>
    </row>
    <row r="81" spans="1:20" x14ac:dyDescent="0.25">
      <c r="A81" t="s">
        <v>234</v>
      </c>
      <c r="B81" t="s">
        <v>235</v>
      </c>
      <c r="C81">
        <v>1</v>
      </c>
      <c r="D81" s="8">
        <v>43775</v>
      </c>
      <c r="E81" t="s">
        <v>231</v>
      </c>
      <c r="F81" t="s">
        <v>232</v>
      </c>
      <c r="G81" t="s">
        <v>233</v>
      </c>
      <c r="H81" s="3">
        <v>2</v>
      </c>
      <c r="I81">
        <v>2</v>
      </c>
      <c r="J81">
        <v>2</v>
      </c>
      <c r="K81" s="6">
        <v>18</v>
      </c>
      <c r="L81" t="s">
        <v>25</v>
      </c>
      <c r="M81" t="s">
        <v>26</v>
      </c>
      <c r="N81">
        <v>81.3</v>
      </c>
      <c r="O81">
        <f>(37.1+36.7)/2</f>
        <v>36.900000000000006</v>
      </c>
      <c r="P81">
        <f>(36.8+36.6)/2</f>
        <v>36.700000000000003</v>
      </c>
      <c r="Q81">
        <v>72</v>
      </c>
      <c r="R81">
        <v>73</v>
      </c>
      <c r="S81">
        <v>26</v>
      </c>
      <c r="T81">
        <f>(45.7+45.6)/2</f>
        <v>45.650000000000006</v>
      </c>
    </row>
    <row r="82" spans="1:20" x14ac:dyDescent="0.25">
      <c r="A82" t="s">
        <v>236</v>
      </c>
      <c r="B82" t="s">
        <v>237</v>
      </c>
      <c r="C82">
        <v>1</v>
      </c>
      <c r="D82" s="8">
        <v>43777</v>
      </c>
      <c r="E82" t="s">
        <v>238</v>
      </c>
      <c r="F82" t="s">
        <v>30</v>
      </c>
      <c r="G82" t="s">
        <v>239</v>
      </c>
      <c r="H82" s="3" t="s">
        <v>126</v>
      </c>
      <c r="I82">
        <v>2</v>
      </c>
      <c r="J82">
        <v>1</v>
      </c>
      <c r="K82" s="6" t="s">
        <v>202</v>
      </c>
      <c r="L82" t="s">
        <v>25</v>
      </c>
      <c r="M82" t="s">
        <v>26</v>
      </c>
      <c r="N82">
        <v>100</v>
      </c>
      <c r="O82">
        <f>(39.8+39.9)/2</f>
        <v>39.849999999999994</v>
      </c>
      <c r="P82">
        <f>(40.3+39.8)/2</f>
        <v>40.049999999999997</v>
      </c>
      <c r="Q82">
        <v>80</v>
      </c>
      <c r="R82">
        <v>81</v>
      </c>
      <c r="S82">
        <v>40</v>
      </c>
      <c r="T82">
        <f>(48.4+48.6)/2</f>
        <v>48.5</v>
      </c>
    </row>
    <row r="83" spans="1:20" s="9" customFormat="1" x14ac:dyDescent="0.25">
      <c r="A83" s="9" t="s">
        <v>240</v>
      </c>
      <c r="B83" s="9" t="s">
        <v>241</v>
      </c>
      <c r="C83" s="9">
        <v>1</v>
      </c>
      <c r="D83" s="10">
        <v>43777</v>
      </c>
      <c r="E83" s="9" t="s">
        <v>238</v>
      </c>
      <c r="F83" s="9" t="s">
        <v>30</v>
      </c>
      <c r="G83" s="9" t="s">
        <v>239</v>
      </c>
      <c r="H83" s="11" t="s">
        <v>126</v>
      </c>
      <c r="I83" s="9">
        <v>2</v>
      </c>
      <c r="J83" s="9">
        <v>2</v>
      </c>
      <c r="K83" s="9" t="s">
        <v>202</v>
      </c>
      <c r="L83" s="9" t="s">
        <v>25</v>
      </c>
      <c r="M83" s="9" t="s">
        <v>26</v>
      </c>
      <c r="N83" s="9">
        <v>71.599999999999994</v>
      </c>
      <c r="O83" s="9">
        <f>(36.1+36.2)/2</f>
        <v>36.150000000000006</v>
      </c>
      <c r="P83" s="9">
        <f>(35.8+35.6)/2</f>
        <v>35.700000000000003</v>
      </c>
      <c r="Q83" s="9">
        <v>64</v>
      </c>
      <c r="R83" s="9">
        <v>64</v>
      </c>
      <c r="S83" s="9">
        <v>28</v>
      </c>
      <c r="T83" s="9">
        <f>(46+45.7)/2</f>
        <v>45.85</v>
      </c>
    </row>
    <row r="84" spans="1:20" x14ac:dyDescent="0.25">
      <c r="A84" t="s">
        <v>242</v>
      </c>
      <c r="B84" t="s">
        <v>243</v>
      </c>
      <c r="C84">
        <v>1</v>
      </c>
      <c r="D84" s="8">
        <v>43777</v>
      </c>
      <c r="E84" t="s">
        <v>244</v>
      </c>
      <c r="F84" t="s">
        <v>103</v>
      </c>
      <c r="G84" t="s">
        <v>245</v>
      </c>
      <c r="H84" s="3">
        <v>2</v>
      </c>
      <c r="I84">
        <v>2</v>
      </c>
      <c r="J84">
        <v>1</v>
      </c>
      <c r="K84" s="6">
        <v>17</v>
      </c>
      <c r="L84" t="s">
        <v>25</v>
      </c>
      <c r="M84" t="s">
        <v>26</v>
      </c>
      <c r="N84">
        <v>108.5</v>
      </c>
      <c r="O84">
        <f>(39.6+39.8)/2</f>
        <v>39.700000000000003</v>
      </c>
      <c r="P84">
        <f>(40.3+40.2)/2</f>
        <v>40.25</v>
      </c>
      <c r="Q84">
        <v>80</v>
      </c>
      <c r="R84">
        <v>80</v>
      </c>
      <c r="S84">
        <v>36</v>
      </c>
      <c r="T84">
        <f>(49.6+49.7)/2</f>
        <v>49.650000000000006</v>
      </c>
    </row>
    <row r="85" spans="1:20" x14ac:dyDescent="0.25">
      <c r="A85" t="s">
        <v>246</v>
      </c>
      <c r="B85" t="s">
        <v>247</v>
      </c>
      <c r="C85">
        <v>1</v>
      </c>
      <c r="D85" s="8">
        <v>43777</v>
      </c>
      <c r="E85" t="s">
        <v>244</v>
      </c>
      <c r="F85" t="s">
        <v>103</v>
      </c>
      <c r="G85" t="s">
        <v>245</v>
      </c>
      <c r="H85" s="3">
        <v>2</v>
      </c>
      <c r="I85">
        <v>2</v>
      </c>
      <c r="J85">
        <v>2</v>
      </c>
      <c r="K85" s="6">
        <v>17</v>
      </c>
      <c r="L85" t="s">
        <v>25</v>
      </c>
      <c r="M85" t="s">
        <v>26</v>
      </c>
      <c r="N85">
        <v>100.3</v>
      </c>
      <c r="O85">
        <f>(39.5+39.2)/2</f>
        <v>39.35</v>
      </c>
      <c r="P85">
        <f>(39.1+39)/2</f>
        <v>39.049999999999997</v>
      </c>
      <c r="Q85">
        <v>79</v>
      </c>
      <c r="R85">
        <v>78</v>
      </c>
      <c r="S85">
        <v>31</v>
      </c>
      <c r="T85">
        <f>(48.3+48.2)/2</f>
        <v>48.25</v>
      </c>
    </row>
    <row r="86" spans="1:20" x14ac:dyDescent="0.25">
      <c r="A86" t="s">
        <v>248</v>
      </c>
      <c r="B86" t="s">
        <v>249</v>
      </c>
      <c r="C86">
        <v>1</v>
      </c>
      <c r="D86" s="8">
        <v>43779</v>
      </c>
      <c r="E86" t="s">
        <v>166</v>
      </c>
      <c r="F86" t="s">
        <v>90</v>
      </c>
      <c r="G86" t="s">
        <v>91</v>
      </c>
      <c r="H86" s="3">
        <v>3</v>
      </c>
      <c r="I86">
        <v>3</v>
      </c>
      <c r="J86">
        <v>1</v>
      </c>
      <c r="K86" s="6">
        <v>17</v>
      </c>
      <c r="L86" t="s">
        <v>25</v>
      </c>
      <c r="M86" t="s">
        <v>26</v>
      </c>
      <c r="N86">
        <v>81.400000000000006</v>
      </c>
      <c r="O86">
        <f>(36.9+36.6)/2</f>
        <v>36.75</v>
      </c>
      <c r="P86">
        <f>(36.5+36.3)/2</f>
        <v>36.4</v>
      </c>
      <c r="Q86">
        <v>78</v>
      </c>
      <c r="R86">
        <v>80</v>
      </c>
      <c r="S86">
        <v>36</v>
      </c>
      <c r="T86">
        <f>(48.5+48.9)/2</f>
        <v>48.7</v>
      </c>
    </row>
    <row r="87" spans="1:20" x14ac:dyDescent="0.25">
      <c r="A87" t="s">
        <v>250</v>
      </c>
      <c r="B87" t="s">
        <v>251</v>
      </c>
      <c r="C87">
        <v>1</v>
      </c>
      <c r="D87" s="8">
        <v>43779</v>
      </c>
      <c r="E87" t="s">
        <v>166</v>
      </c>
      <c r="F87" t="s">
        <v>90</v>
      </c>
      <c r="G87" t="s">
        <v>91</v>
      </c>
      <c r="H87" s="3">
        <v>3</v>
      </c>
      <c r="I87">
        <v>3</v>
      </c>
      <c r="J87">
        <v>2</v>
      </c>
      <c r="K87" s="6">
        <v>17</v>
      </c>
      <c r="L87" t="s">
        <v>25</v>
      </c>
      <c r="M87" t="s">
        <v>26</v>
      </c>
      <c r="N87">
        <v>93.6</v>
      </c>
      <c r="O87">
        <f>(37.3+37.4)/2</f>
        <v>37.349999999999994</v>
      </c>
      <c r="P87">
        <f>(37.1+37.2)/2</f>
        <v>37.150000000000006</v>
      </c>
      <c r="Q87">
        <v>82</v>
      </c>
      <c r="R87">
        <v>85</v>
      </c>
      <c r="S87">
        <v>36</v>
      </c>
      <c r="T87">
        <f>(49.8+49.4)/2</f>
        <v>49.599999999999994</v>
      </c>
    </row>
    <row r="88" spans="1:20" s="9" customFormat="1" x14ac:dyDescent="0.25">
      <c r="A88" s="9" t="s">
        <v>252</v>
      </c>
      <c r="B88" s="9" t="s">
        <v>253</v>
      </c>
      <c r="C88" s="9">
        <v>1</v>
      </c>
      <c r="D88" s="10">
        <v>43779</v>
      </c>
      <c r="E88" s="9" t="s">
        <v>166</v>
      </c>
      <c r="F88" s="9" t="s">
        <v>90</v>
      </c>
      <c r="G88" s="9" t="s">
        <v>91</v>
      </c>
      <c r="H88" s="11">
        <v>3</v>
      </c>
      <c r="I88" s="9">
        <v>3</v>
      </c>
      <c r="J88" s="9">
        <v>3</v>
      </c>
      <c r="K88" s="9">
        <v>17</v>
      </c>
      <c r="L88" s="9" t="s">
        <v>25</v>
      </c>
      <c r="M88" s="9" t="s">
        <v>26</v>
      </c>
      <c r="N88" s="9">
        <v>62</v>
      </c>
      <c r="O88" s="9">
        <f>(35.6+35.4)/2</f>
        <v>35.5</v>
      </c>
      <c r="P88" s="9">
        <f>(36.6+35.7)/2</f>
        <v>36.150000000000006</v>
      </c>
      <c r="Q88" s="9">
        <v>63</v>
      </c>
      <c r="R88" s="9">
        <v>65</v>
      </c>
      <c r="S88" s="9">
        <v>20</v>
      </c>
      <c r="T88" s="9">
        <f>(46.2+46.4)/2</f>
        <v>46.3</v>
      </c>
    </row>
    <row r="89" spans="1:20" x14ac:dyDescent="0.25">
      <c r="A89" t="s">
        <v>254</v>
      </c>
      <c r="B89" t="s">
        <v>255</v>
      </c>
      <c r="C89">
        <v>1</v>
      </c>
      <c r="D89" s="8">
        <v>43802</v>
      </c>
      <c r="E89" t="s">
        <v>256</v>
      </c>
      <c r="F89" t="s">
        <v>121</v>
      </c>
      <c r="G89" t="s">
        <v>24</v>
      </c>
      <c r="H89" s="3" t="s">
        <v>126</v>
      </c>
      <c r="I89">
        <v>1</v>
      </c>
      <c r="J89">
        <v>1</v>
      </c>
      <c r="K89" s="6">
        <v>17</v>
      </c>
      <c r="L89" t="s">
        <v>25</v>
      </c>
      <c r="M89" t="s">
        <v>26</v>
      </c>
      <c r="N89">
        <v>71</v>
      </c>
      <c r="O89">
        <f>(34.6+34.4)/2</f>
        <v>34.5</v>
      </c>
      <c r="P89">
        <f>(34.4+34.4)/2</f>
        <v>34.4</v>
      </c>
      <c r="Q89">
        <v>68</v>
      </c>
      <c r="R89">
        <v>70</v>
      </c>
      <c r="S89">
        <v>27</v>
      </c>
      <c r="T89">
        <f>(44.1+44)/2</f>
        <v>44.05</v>
      </c>
    </row>
    <row r="90" spans="1:20" x14ac:dyDescent="0.25">
      <c r="A90" s="20" t="s">
        <v>257</v>
      </c>
      <c r="B90" t="s">
        <v>258</v>
      </c>
      <c r="C90">
        <v>1</v>
      </c>
      <c r="D90" s="8">
        <v>43810</v>
      </c>
      <c r="E90" t="s">
        <v>161</v>
      </c>
      <c r="F90" t="s">
        <v>30</v>
      </c>
      <c r="G90" t="s">
        <v>259</v>
      </c>
      <c r="H90" s="3" t="s">
        <v>260</v>
      </c>
      <c r="I90" t="s">
        <v>261</v>
      </c>
      <c r="J90">
        <v>1</v>
      </c>
      <c r="K90" s="6">
        <v>16</v>
      </c>
      <c r="L90" t="s">
        <v>25</v>
      </c>
      <c r="M90" t="s">
        <v>26</v>
      </c>
      <c r="N90">
        <v>88.5</v>
      </c>
      <c r="O90">
        <f>(34.5+34.6)/2</f>
        <v>34.549999999999997</v>
      </c>
      <c r="P90">
        <f>(35.3+35.3)/2</f>
        <v>35.299999999999997</v>
      </c>
      <c r="Q90">
        <v>65</v>
      </c>
      <c r="R90">
        <v>67</v>
      </c>
      <c r="S90">
        <v>25</v>
      </c>
      <c r="T90">
        <f>(44.4+44.1)/2</f>
        <v>44.25</v>
      </c>
    </row>
    <row r="91" spans="1:20" x14ac:dyDescent="0.25">
      <c r="A91" t="s">
        <v>262</v>
      </c>
      <c r="B91" t="s">
        <v>263</v>
      </c>
      <c r="C91">
        <v>1</v>
      </c>
      <c r="D91" s="8">
        <v>43810</v>
      </c>
      <c r="E91" t="s">
        <v>161</v>
      </c>
      <c r="F91" t="s">
        <v>30</v>
      </c>
      <c r="G91" t="s">
        <v>259</v>
      </c>
      <c r="H91" s="3" t="s">
        <v>260</v>
      </c>
      <c r="I91" t="s">
        <v>261</v>
      </c>
      <c r="J91">
        <v>2</v>
      </c>
      <c r="K91" s="6">
        <v>16</v>
      </c>
      <c r="L91" t="s">
        <v>25</v>
      </c>
      <c r="M91" t="s">
        <v>26</v>
      </c>
      <c r="N91">
        <v>93.3</v>
      </c>
      <c r="O91">
        <f>(36.8+36.9)/2</f>
        <v>36.849999999999994</v>
      </c>
      <c r="P91">
        <f>(36.4+36.7)/2</f>
        <v>36.549999999999997</v>
      </c>
      <c r="Q91">
        <v>73</v>
      </c>
      <c r="R91">
        <v>77</v>
      </c>
      <c r="S91">
        <v>30</v>
      </c>
      <c r="T91">
        <f>(47.3+47.3)/2</f>
        <v>47.3</v>
      </c>
    </row>
    <row r="92" spans="1:20" x14ac:dyDescent="0.25">
      <c r="A92" t="s">
        <v>264</v>
      </c>
      <c r="B92" t="s">
        <v>265</v>
      </c>
      <c r="C92">
        <v>1</v>
      </c>
      <c r="D92" s="8">
        <v>43813</v>
      </c>
      <c r="E92" t="s">
        <v>266</v>
      </c>
      <c r="F92" t="s">
        <v>30</v>
      </c>
      <c r="G92" t="s">
        <v>30</v>
      </c>
      <c r="H92" s="3">
        <v>3</v>
      </c>
      <c r="I92">
        <v>1</v>
      </c>
      <c r="J92">
        <v>1</v>
      </c>
      <c r="K92" s="6">
        <v>17</v>
      </c>
      <c r="L92" t="s">
        <v>25</v>
      </c>
      <c r="M92" t="s">
        <v>26</v>
      </c>
      <c r="N92">
        <v>86.7</v>
      </c>
      <c r="O92">
        <f>(36+36.1)/2</f>
        <v>36.049999999999997</v>
      </c>
      <c r="P92">
        <f>(36.4+36.5)/2</f>
        <v>36.450000000000003</v>
      </c>
      <c r="Q92">
        <v>85</v>
      </c>
      <c r="R92">
        <v>86</v>
      </c>
      <c r="S92">
        <v>38</v>
      </c>
      <c r="T92">
        <f>(47.9+47.7)/2</f>
        <v>47.8</v>
      </c>
    </row>
    <row r="93" spans="1:20" x14ac:dyDescent="0.25">
      <c r="A93" t="s">
        <v>267</v>
      </c>
      <c r="B93" t="s">
        <v>268</v>
      </c>
      <c r="C93">
        <v>1</v>
      </c>
      <c r="D93" s="8">
        <v>44153</v>
      </c>
      <c r="E93" t="s">
        <v>34</v>
      </c>
      <c r="F93" t="s">
        <v>269</v>
      </c>
      <c r="G93" t="s">
        <v>30</v>
      </c>
      <c r="H93" s="3">
        <v>2</v>
      </c>
      <c r="I93">
        <v>2</v>
      </c>
      <c r="J93">
        <v>1</v>
      </c>
      <c r="K93" s="6">
        <v>17</v>
      </c>
      <c r="L93" t="s">
        <v>25</v>
      </c>
      <c r="M93" t="s">
        <v>26</v>
      </c>
      <c r="N93">
        <v>83.5</v>
      </c>
      <c r="O93">
        <f>(35.9+36.1)/2</f>
        <v>36</v>
      </c>
      <c r="P93">
        <f>(36.4+36.8)/2</f>
        <v>36.599999999999994</v>
      </c>
      <c r="Q93">
        <v>57</v>
      </c>
      <c r="R93">
        <v>58</v>
      </c>
      <c r="S93">
        <v>24</v>
      </c>
      <c r="T93">
        <f>(44.8+44.8)/2</f>
        <v>44.8</v>
      </c>
    </row>
    <row r="94" spans="1:20" x14ac:dyDescent="0.25">
      <c r="A94" t="s">
        <v>270</v>
      </c>
      <c r="B94" t="s">
        <v>271</v>
      </c>
      <c r="C94">
        <v>1</v>
      </c>
      <c r="D94" s="8">
        <v>44153</v>
      </c>
      <c r="E94" t="s">
        <v>34</v>
      </c>
      <c r="F94" t="s">
        <v>269</v>
      </c>
      <c r="G94" t="s">
        <v>30</v>
      </c>
      <c r="H94" s="3">
        <v>2</v>
      </c>
      <c r="I94">
        <v>2</v>
      </c>
      <c r="J94">
        <v>2</v>
      </c>
      <c r="K94" s="6">
        <v>17</v>
      </c>
      <c r="L94" t="s">
        <v>25</v>
      </c>
      <c r="M94" t="s">
        <v>26</v>
      </c>
      <c r="N94">
        <v>79.900000000000006</v>
      </c>
      <c r="O94">
        <f>(31.6+32.1)/2</f>
        <v>31.85</v>
      </c>
      <c r="P94">
        <f>(32.2+33.2)/2</f>
        <v>32.700000000000003</v>
      </c>
      <c r="Q94">
        <v>50</v>
      </c>
      <c r="R94">
        <v>50</v>
      </c>
      <c r="S94">
        <v>16</v>
      </c>
      <c r="T94">
        <f>(43.5+43.6)/2</f>
        <v>43.55</v>
      </c>
    </row>
    <row r="95" spans="1:20" x14ac:dyDescent="0.25">
      <c r="A95" t="s">
        <v>272</v>
      </c>
      <c r="B95" t="s">
        <v>273</v>
      </c>
      <c r="C95">
        <v>1</v>
      </c>
      <c r="D95" s="8">
        <v>44160</v>
      </c>
      <c r="E95" t="s">
        <v>149</v>
      </c>
      <c r="F95" t="s">
        <v>274</v>
      </c>
      <c r="G95" t="s">
        <v>47</v>
      </c>
      <c r="H95" s="3">
        <v>3</v>
      </c>
      <c r="I95">
        <v>2</v>
      </c>
      <c r="J95">
        <v>1</v>
      </c>
      <c r="K95" s="6">
        <v>17</v>
      </c>
      <c r="L95" t="s">
        <v>25</v>
      </c>
      <c r="M95" t="s">
        <v>26</v>
      </c>
      <c r="N95">
        <v>100.5</v>
      </c>
      <c r="O95">
        <f>(38.7+38.4)/2</f>
        <v>38.549999999999997</v>
      </c>
      <c r="P95">
        <f>(38.9+39.1)/2</f>
        <v>39</v>
      </c>
      <c r="Q95">
        <v>88</v>
      </c>
      <c r="R95">
        <v>95</v>
      </c>
      <c r="S95">
        <v>45</v>
      </c>
      <c r="T95">
        <f>(49+49)/2</f>
        <v>49</v>
      </c>
    </row>
    <row r="96" spans="1:20" x14ac:dyDescent="0.25">
      <c r="A96" t="s">
        <v>275</v>
      </c>
      <c r="B96" t="s">
        <v>276</v>
      </c>
      <c r="C96">
        <v>1</v>
      </c>
      <c r="D96" s="8">
        <v>44160</v>
      </c>
      <c r="E96" t="s">
        <v>149</v>
      </c>
      <c r="F96" t="s">
        <v>274</v>
      </c>
      <c r="G96" t="s">
        <v>47</v>
      </c>
      <c r="H96" s="3">
        <v>3</v>
      </c>
      <c r="I96">
        <v>2</v>
      </c>
      <c r="J96">
        <v>2</v>
      </c>
      <c r="K96" s="6">
        <v>17</v>
      </c>
      <c r="L96" t="s">
        <v>25</v>
      </c>
      <c r="M96" t="s">
        <v>26</v>
      </c>
      <c r="N96">
        <v>85.9</v>
      </c>
      <c r="O96">
        <f>(38.3+38.2)/2</f>
        <v>38.25</v>
      </c>
      <c r="P96">
        <f>(38.9+38.6)/2</f>
        <v>38.75</v>
      </c>
      <c r="Q96">
        <v>87</v>
      </c>
      <c r="R96">
        <v>93</v>
      </c>
      <c r="S96">
        <v>44</v>
      </c>
      <c r="T96">
        <f>(48+47.7)/2</f>
        <v>47.85</v>
      </c>
    </row>
    <row r="97" spans="1:20" x14ac:dyDescent="0.25">
      <c r="A97" t="s">
        <v>277</v>
      </c>
      <c r="B97" t="s">
        <v>278</v>
      </c>
      <c r="C97">
        <v>1</v>
      </c>
      <c r="D97" s="8">
        <v>44160</v>
      </c>
      <c r="E97" t="s">
        <v>279</v>
      </c>
      <c r="F97" t="s">
        <v>280</v>
      </c>
      <c r="G97" t="s">
        <v>30</v>
      </c>
      <c r="H97" s="3">
        <v>1</v>
      </c>
      <c r="I97">
        <v>1</v>
      </c>
      <c r="J97">
        <v>1</v>
      </c>
      <c r="K97" s="6">
        <v>17</v>
      </c>
      <c r="L97" t="s">
        <v>25</v>
      </c>
      <c r="M97" t="s">
        <v>26</v>
      </c>
      <c r="N97">
        <v>104.7</v>
      </c>
      <c r="O97">
        <f>(38.3+38.4)/2</f>
        <v>38.349999999999994</v>
      </c>
      <c r="P97">
        <f>(38.8+38.5)/2</f>
        <v>38.65</v>
      </c>
      <c r="Q97">
        <v>82</v>
      </c>
      <c r="R97">
        <v>85</v>
      </c>
      <c r="S97">
        <v>35</v>
      </c>
      <c r="T97">
        <f>(47.5+47.8)/2</f>
        <v>47.65</v>
      </c>
    </row>
    <row r="98" spans="1:20" s="9" customFormat="1" x14ac:dyDescent="0.25">
      <c r="A98" s="9" t="s">
        <v>281</v>
      </c>
      <c r="B98" s="9" t="s">
        <v>281</v>
      </c>
      <c r="C98" s="9" t="s">
        <v>281</v>
      </c>
      <c r="D98" s="10">
        <v>44164</v>
      </c>
      <c r="E98" s="9" t="s">
        <v>282</v>
      </c>
      <c r="F98" s="9" t="s">
        <v>30</v>
      </c>
      <c r="G98" s="9" t="s">
        <v>30</v>
      </c>
      <c r="H98" s="11" t="s">
        <v>126</v>
      </c>
      <c r="I98" s="9">
        <v>1</v>
      </c>
      <c r="J98" s="9">
        <v>1</v>
      </c>
      <c r="K98" s="9">
        <v>17</v>
      </c>
      <c r="L98" s="9" t="s">
        <v>281</v>
      </c>
      <c r="M98" s="9" t="s">
        <v>281</v>
      </c>
      <c r="N98" s="9">
        <v>69.099999999999994</v>
      </c>
      <c r="O98" s="9" t="s">
        <v>281</v>
      </c>
      <c r="P98" s="9">
        <f>(29.9+29.5)/2</f>
        <v>29.7</v>
      </c>
      <c r="Q98" s="9">
        <v>68</v>
      </c>
      <c r="R98" s="9">
        <v>61</v>
      </c>
      <c r="S98" s="9">
        <v>19</v>
      </c>
      <c r="T98" s="9">
        <f>(42.6+42.7)/2</f>
        <v>42.650000000000006</v>
      </c>
    </row>
    <row r="99" spans="1:20" x14ac:dyDescent="0.25">
      <c r="A99" t="s">
        <v>283</v>
      </c>
      <c r="B99" t="s">
        <v>284</v>
      </c>
      <c r="C99">
        <v>1</v>
      </c>
      <c r="D99" s="8">
        <v>44166</v>
      </c>
      <c r="E99" t="s">
        <v>285</v>
      </c>
      <c r="F99" t="s">
        <v>30</v>
      </c>
      <c r="G99" t="s">
        <v>30</v>
      </c>
      <c r="H99" s="3" t="s">
        <v>126</v>
      </c>
      <c r="I99">
        <v>1</v>
      </c>
      <c r="J99">
        <v>1</v>
      </c>
      <c r="K99" s="6">
        <v>17</v>
      </c>
      <c r="L99" t="s">
        <v>25</v>
      </c>
      <c r="M99" t="s">
        <v>26</v>
      </c>
      <c r="N99">
        <v>123.6</v>
      </c>
      <c r="O99">
        <f>(39.9+39.7)/2</f>
        <v>39.799999999999997</v>
      </c>
      <c r="P99">
        <f>(39.8+39.9)/2</f>
        <v>39.849999999999994</v>
      </c>
      <c r="Q99">
        <v>90</v>
      </c>
      <c r="R99">
        <v>90</v>
      </c>
      <c r="S99">
        <v>41</v>
      </c>
      <c r="T99">
        <f>(50.5+50.3)/2</f>
        <v>50.4</v>
      </c>
    </row>
    <row r="100" spans="1:20" x14ac:dyDescent="0.25">
      <c r="A100" t="s">
        <v>286</v>
      </c>
      <c r="B100" t="s">
        <v>287</v>
      </c>
      <c r="C100">
        <v>1</v>
      </c>
      <c r="D100" s="8">
        <v>44167</v>
      </c>
      <c r="E100" t="s">
        <v>288</v>
      </c>
      <c r="F100" t="s">
        <v>30</v>
      </c>
      <c r="G100" t="s">
        <v>30</v>
      </c>
      <c r="H100" s="3" t="s">
        <v>126</v>
      </c>
      <c r="I100">
        <v>3</v>
      </c>
      <c r="J100">
        <v>1</v>
      </c>
      <c r="K100" s="6">
        <v>17</v>
      </c>
      <c r="L100" t="s">
        <v>25</v>
      </c>
      <c r="M100" t="s">
        <v>26</v>
      </c>
      <c r="N100">
        <v>83.7</v>
      </c>
      <c r="O100">
        <f>(34.6+34.8)/2</f>
        <v>34.700000000000003</v>
      </c>
      <c r="P100">
        <f>(34.3+34.1)/2</f>
        <v>34.200000000000003</v>
      </c>
      <c r="Q100">
        <v>64</v>
      </c>
      <c r="R100">
        <v>64</v>
      </c>
      <c r="S100">
        <v>18</v>
      </c>
      <c r="T100">
        <f>(45.8+45.9)/2</f>
        <v>45.849999999999994</v>
      </c>
    </row>
    <row r="101" spans="1:20" x14ac:dyDescent="0.25">
      <c r="A101" t="s">
        <v>289</v>
      </c>
      <c r="B101" t="s">
        <v>290</v>
      </c>
      <c r="C101">
        <v>1</v>
      </c>
      <c r="D101" s="8">
        <v>44167</v>
      </c>
      <c r="E101" t="s">
        <v>288</v>
      </c>
      <c r="F101" t="s">
        <v>30</v>
      </c>
      <c r="G101" t="s">
        <v>30</v>
      </c>
      <c r="H101" s="3" t="s">
        <v>126</v>
      </c>
      <c r="I101">
        <v>3</v>
      </c>
      <c r="J101">
        <v>2</v>
      </c>
      <c r="K101" s="6">
        <v>17</v>
      </c>
      <c r="L101" t="s">
        <v>25</v>
      </c>
      <c r="M101" t="s">
        <v>26</v>
      </c>
      <c r="N101">
        <v>88.7</v>
      </c>
      <c r="O101">
        <f>(35.4+35.6)/2</f>
        <v>35.5</v>
      </c>
      <c r="P101">
        <f>(35.7+36.1)/2</f>
        <v>35.900000000000006</v>
      </c>
      <c r="Q101">
        <v>73</v>
      </c>
      <c r="R101">
        <v>75</v>
      </c>
      <c r="S101">
        <v>27</v>
      </c>
      <c r="T101">
        <f>(46.2+46.4)/2</f>
        <v>46.3</v>
      </c>
    </row>
    <row r="102" spans="1:20" x14ac:dyDescent="0.25">
      <c r="A102" t="s">
        <v>291</v>
      </c>
      <c r="B102" t="s">
        <v>292</v>
      </c>
      <c r="C102">
        <v>1</v>
      </c>
      <c r="D102" s="8">
        <v>44167</v>
      </c>
      <c r="E102" t="s">
        <v>288</v>
      </c>
      <c r="F102" t="s">
        <v>30</v>
      </c>
      <c r="G102" t="s">
        <v>30</v>
      </c>
      <c r="H102" s="3" t="s">
        <v>126</v>
      </c>
      <c r="I102">
        <v>3</v>
      </c>
      <c r="J102">
        <v>3</v>
      </c>
      <c r="K102" s="6">
        <v>17</v>
      </c>
      <c r="L102" t="s">
        <v>25</v>
      </c>
      <c r="M102" t="s">
        <v>26</v>
      </c>
      <c r="N102">
        <v>99.1</v>
      </c>
      <c r="O102">
        <f>(36.1+36.1)/2</f>
        <v>36.1</v>
      </c>
      <c r="P102">
        <f>(36.6+36.4)/2</f>
        <v>36.5</v>
      </c>
      <c r="Q102">
        <v>82</v>
      </c>
      <c r="R102">
        <v>82</v>
      </c>
      <c r="S102">
        <v>35</v>
      </c>
      <c r="T102">
        <f>(47.5+48.1)/2</f>
        <v>47.8</v>
      </c>
    </row>
    <row r="103" spans="1:20" s="9" customFormat="1" x14ac:dyDescent="0.25">
      <c r="A103" s="9" t="s">
        <v>293</v>
      </c>
      <c r="B103" s="21" t="s">
        <v>294</v>
      </c>
      <c r="C103" s="9">
        <v>1</v>
      </c>
      <c r="D103" s="10">
        <v>44167</v>
      </c>
      <c r="E103" s="9" t="s">
        <v>231</v>
      </c>
      <c r="F103" s="9" t="s">
        <v>232</v>
      </c>
      <c r="G103" s="9" t="s">
        <v>233</v>
      </c>
      <c r="H103" s="11">
        <v>2</v>
      </c>
      <c r="I103" s="9">
        <v>1</v>
      </c>
      <c r="J103" s="9">
        <v>1</v>
      </c>
      <c r="K103" s="9">
        <v>17</v>
      </c>
      <c r="L103" s="9" t="s">
        <v>25</v>
      </c>
      <c r="M103" s="9" t="s">
        <v>26</v>
      </c>
      <c r="N103" s="9">
        <v>92.8</v>
      </c>
      <c r="O103" s="9">
        <f>(36.1+36.1)/2</f>
        <v>36.1</v>
      </c>
      <c r="P103" s="9">
        <f>(37.7+37.3)/2</f>
        <v>37.5</v>
      </c>
      <c r="Q103" s="9">
        <v>84</v>
      </c>
      <c r="R103" s="9">
        <v>86</v>
      </c>
      <c r="S103" s="9">
        <v>36</v>
      </c>
      <c r="T103" s="9">
        <f>(47.4+47.4)/2</f>
        <v>47.4</v>
      </c>
    </row>
    <row r="104" spans="1:20" s="9" customFormat="1" x14ac:dyDescent="0.25">
      <c r="A104" s="9" t="s">
        <v>295</v>
      </c>
      <c r="B104" s="21" t="s">
        <v>296</v>
      </c>
      <c r="C104" s="9">
        <v>1</v>
      </c>
      <c r="D104" s="10">
        <v>44168</v>
      </c>
      <c r="E104" s="9" t="s">
        <v>256</v>
      </c>
      <c r="F104" s="9" t="s">
        <v>121</v>
      </c>
      <c r="G104" s="9" t="s">
        <v>24</v>
      </c>
      <c r="H104" s="11">
        <v>3</v>
      </c>
      <c r="I104" s="9">
        <v>2</v>
      </c>
      <c r="J104" s="9">
        <v>1</v>
      </c>
      <c r="K104" s="9">
        <v>17</v>
      </c>
      <c r="L104" s="9" t="s">
        <v>25</v>
      </c>
      <c r="M104" s="9" t="s">
        <v>26</v>
      </c>
      <c r="N104" s="9">
        <v>52.2</v>
      </c>
      <c r="O104" s="9">
        <f>(33.9+34)/2</f>
        <v>33.950000000000003</v>
      </c>
      <c r="P104" s="9">
        <f>(35.1+34.9)/2</f>
        <v>35</v>
      </c>
      <c r="Q104" s="9">
        <v>66</v>
      </c>
      <c r="R104" s="9">
        <v>67</v>
      </c>
      <c r="S104" s="9">
        <v>25</v>
      </c>
      <c r="T104" s="9">
        <f>(43.6+43.6)/2</f>
        <v>43.6</v>
      </c>
    </row>
    <row r="105" spans="1:20" x14ac:dyDescent="0.25">
      <c r="A105" t="s">
        <v>297</v>
      </c>
      <c r="B105" t="s">
        <v>298</v>
      </c>
      <c r="C105">
        <v>1</v>
      </c>
      <c r="D105" s="8">
        <v>44168</v>
      </c>
      <c r="E105" t="s">
        <v>256</v>
      </c>
      <c r="F105" t="s">
        <v>121</v>
      </c>
      <c r="G105" t="s">
        <v>24</v>
      </c>
      <c r="H105" s="3">
        <v>3</v>
      </c>
      <c r="I105">
        <v>2</v>
      </c>
      <c r="J105">
        <v>2</v>
      </c>
      <c r="K105" s="6">
        <v>17</v>
      </c>
      <c r="L105" t="s">
        <v>25</v>
      </c>
      <c r="M105" t="s">
        <v>26</v>
      </c>
      <c r="N105">
        <v>79.599999999999994</v>
      </c>
      <c r="O105">
        <f>(37.5+37.8)/2</f>
        <v>37.65</v>
      </c>
      <c r="P105">
        <f>(37.9+37.7)/2</f>
        <v>37.799999999999997</v>
      </c>
      <c r="Q105">
        <v>77</v>
      </c>
      <c r="R105">
        <v>76</v>
      </c>
      <c r="S105">
        <v>28</v>
      </c>
      <c r="T105">
        <f>(45.8+46.1)/2</f>
        <v>45.95</v>
      </c>
    </row>
    <row r="106" spans="1:20" x14ac:dyDescent="0.25">
      <c r="A106" t="s">
        <v>299</v>
      </c>
      <c r="B106" t="s">
        <v>300</v>
      </c>
      <c r="C106">
        <v>1</v>
      </c>
      <c r="D106" s="8">
        <v>44168</v>
      </c>
      <c r="E106" t="s">
        <v>179</v>
      </c>
      <c r="F106" t="s">
        <v>54</v>
      </c>
      <c r="G106" t="s">
        <v>30</v>
      </c>
      <c r="H106" s="3">
        <v>2</v>
      </c>
      <c r="I106">
        <v>2</v>
      </c>
      <c r="J106">
        <v>1</v>
      </c>
      <c r="K106" s="6">
        <v>17</v>
      </c>
      <c r="L106" t="s">
        <v>25</v>
      </c>
      <c r="M106" t="s">
        <v>26</v>
      </c>
      <c r="N106">
        <v>77</v>
      </c>
      <c r="O106">
        <f>(35.1+35.1)/2</f>
        <v>35.1</v>
      </c>
      <c r="P106">
        <f>(35.3+35.5)/2</f>
        <v>35.4</v>
      </c>
      <c r="Q106">
        <v>68</v>
      </c>
      <c r="R106">
        <v>70</v>
      </c>
      <c r="S106">
        <v>19</v>
      </c>
      <c r="T106">
        <f>(46.5+46.5)/2</f>
        <v>46.5</v>
      </c>
    </row>
    <row r="107" spans="1:20" x14ac:dyDescent="0.25">
      <c r="A107" t="s">
        <v>301</v>
      </c>
      <c r="B107" t="s">
        <v>302</v>
      </c>
      <c r="C107">
        <v>1</v>
      </c>
      <c r="D107" s="8">
        <v>44168</v>
      </c>
      <c r="E107" t="s">
        <v>179</v>
      </c>
      <c r="F107" t="s">
        <v>54</v>
      </c>
      <c r="G107" t="s">
        <v>30</v>
      </c>
      <c r="H107" s="3">
        <v>2</v>
      </c>
      <c r="I107">
        <v>2</v>
      </c>
      <c r="J107">
        <v>2</v>
      </c>
      <c r="K107" s="6">
        <v>17</v>
      </c>
      <c r="L107" t="s">
        <v>25</v>
      </c>
      <c r="M107" t="s">
        <v>26</v>
      </c>
      <c r="N107">
        <v>84.5</v>
      </c>
      <c r="O107">
        <f>(34.8+34.8)/2</f>
        <v>34.799999999999997</v>
      </c>
      <c r="P107">
        <f>(35+35.1)/2</f>
        <v>35.049999999999997</v>
      </c>
      <c r="Q107">
        <v>72</v>
      </c>
      <c r="R107">
        <v>75</v>
      </c>
      <c r="S107">
        <v>25</v>
      </c>
      <c r="T107">
        <f>(46+46.3)/2</f>
        <v>46.15</v>
      </c>
    </row>
    <row r="108" spans="1:20" x14ac:dyDescent="0.25">
      <c r="A108" t="s">
        <v>303</v>
      </c>
      <c r="B108" t="s">
        <v>304</v>
      </c>
      <c r="C108">
        <v>1</v>
      </c>
      <c r="D108" s="8">
        <v>44169</v>
      </c>
      <c r="E108" t="s">
        <v>124</v>
      </c>
      <c r="F108" t="s">
        <v>30</v>
      </c>
      <c r="G108" t="s">
        <v>125</v>
      </c>
      <c r="H108" s="3" t="s">
        <v>126</v>
      </c>
      <c r="I108">
        <v>2</v>
      </c>
      <c r="J108">
        <v>1</v>
      </c>
      <c r="K108" s="6">
        <v>17</v>
      </c>
      <c r="L108" t="s">
        <v>25</v>
      </c>
      <c r="M108" t="s">
        <v>26</v>
      </c>
      <c r="N108">
        <v>99.1</v>
      </c>
      <c r="O108">
        <f>(37.6+37.6)/2</f>
        <v>37.6</v>
      </c>
      <c r="P108">
        <f>(38.5+38.3)/2</f>
        <v>38.4</v>
      </c>
      <c r="Q108">
        <v>102</v>
      </c>
      <c r="R108">
        <v>103</v>
      </c>
      <c r="S108">
        <v>57</v>
      </c>
      <c r="T108">
        <f>(49.8+50.1)/2</f>
        <v>49.95</v>
      </c>
    </row>
    <row r="109" spans="1:20" s="9" customFormat="1" x14ac:dyDescent="0.25">
      <c r="A109" s="9" t="s">
        <v>305</v>
      </c>
      <c r="B109" s="21" t="s">
        <v>306</v>
      </c>
      <c r="C109" s="9">
        <v>1</v>
      </c>
      <c r="D109" s="10">
        <v>44169</v>
      </c>
      <c r="E109" s="9" t="s">
        <v>124</v>
      </c>
      <c r="F109" s="9" t="s">
        <v>30</v>
      </c>
      <c r="G109" s="9" t="s">
        <v>125</v>
      </c>
      <c r="H109" s="11" t="s">
        <v>126</v>
      </c>
      <c r="I109" s="9">
        <v>2</v>
      </c>
      <c r="J109" s="9">
        <v>2</v>
      </c>
      <c r="K109" s="9">
        <v>17</v>
      </c>
      <c r="L109" s="9" t="s">
        <v>25</v>
      </c>
      <c r="M109" s="9" t="s">
        <v>26</v>
      </c>
      <c r="N109" s="9">
        <v>98.9</v>
      </c>
      <c r="O109" s="9">
        <f>(35+34.9)/2</f>
        <v>34.950000000000003</v>
      </c>
      <c r="P109" s="9">
        <f>(35+35.1)/2</f>
        <v>35.049999999999997</v>
      </c>
      <c r="Q109" s="9">
        <v>101</v>
      </c>
      <c r="R109" s="9">
        <v>103</v>
      </c>
      <c r="S109" s="9">
        <v>64</v>
      </c>
      <c r="T109" s="9">
        <f>(49.8+50)/2</f>
        <v>49.9</v>
      </c>
    </row>
    <row r="110" spans="1:20" x14ac:dyDescent="0.25">
      <c r="A110" t="s">
        <v>307</v>
      </c>
      <c r="B110" t="s">
        <v>308</v>
      </c>
      <c r="C110">
        <v>1</v>
      </c>
      <c r="D110" s="8">
        <v>44169</v>
      </c>
      <c r="E110" t="s">
        <v>309</v>
      </c>
      <c r="F110" t="s">
        <v>30</v>
      </c>
      <c r="G110" t="s">
        <v>30</v>
      </c>
      <c r="H110" s="3" t="s">
        <v>126</v>
      </c>
      <c r="I110">
        <v>2</v>
      </c>
      <c r="J110">
        <v>1</v>
      </c>
      <c r="K110" s="6">
        <v>17</v>
      </c>
      <c r="L110" t="s">
        <v>25</v>
      </c>
      <c r="M110" t="s">
        <v>26</v>
      </c>
      <c r="N110">
        <v>110</v>
      </c>
      <c r="O110">
        <f>(38+37.8)/2</f>
        <v>37.9</v>
      </c>
      <c r="P110">
        <f>(38.1+38.2)/2</f>
        <v>38.150000000000006</v>
      </c>
      <c r="Q110">
        <v>76</v>
      </c>
      <c r="R110">
        <v>76</v>
      </c>
      <c r="S110">
        <v>31</v>
      </c>
      <c r="T110">
        <f>(47.5+47.2)/2</f>
        <v>47.35</v>
      </c>
    </row>
    <row r="111" spans="1:20" x14ac:dyDescent="0.25">
      <c r="A111" t="s">
        <v>310</v>
      </c>
      <c r="B111" t="s">
        <v>311</v>
      </c>
      <c r="C111">
        <v>1</v>
      </c>
      <c r="D111" s="8">
        <v>44169</v>
      </c>
      <c r="E111" t="s">
        <v>309</v>
      </c>
      <c r="F111" t="s">
        <v>30</v>
      </c>
      <c r="G111" t="s">
        <v>30</v>
      </c>
      <c r="H111" s="3" t="s">
        <v>126</v>
      </c>
      <c r="I111">
        <v>2</v>
      </c>
      <c r="J111">
        <v>2</v>
      </c>
      <c r="K111" s="6">
        <v>17</v>
      </c>
      <c r="L111" t="s">
        <v>25</v>
      </c>
      <c r="M111" t="s">
        <v>26</v>
      </c>
      <c r="N111">
        <v>75.400000000000006</v>
      </c>
      <c r="O111">
        <f>(31.9+31.9)/2</f>
        <v>31.9</v>
      </c>
      <c r="P111">
        <f>(31.8+31.8)/2</f>
        <v>31.8</v>
      </c>
      <c r="Q111">
        <v>48</v>
      </c>
      <c r="R111">
        <v>50</v>
      </c>
      <c r="S111">
        <v>16</v>
      </c>
      <c r="T111">
        <f>(43.2+43.3)/2</f>
        <v>43.25</v>
      </c>
    </row>
    <row r="112" spans="1:20" x14ac:dyDescent="0.25">
      <c r="A112" t="s">
        <v>312</v>
      </c>
      <c r="B112" t="s">
        <v>294</v>
      </c>
      <c r="C112">
        <v>1</v>
      </c>
      <c r="D112" s="8">
        <v>44170</v>
      </c>
      <c r="E112" t="s">
        <v>313</v>
      </c>
      <c r="F112" t="s">
        <v>30</v>
      </c>
      <c r="G112" t="s">
        <v>30</v>
      </c>
      <c r="H112" s="3" t="s">
        <v>126</v>
      </c>
      <c r="I112">
        <v>1</v>
      </c>
      <c r="J112">
        <v>1</v>
      </c>
      <c r="K112" s="6" t="s">
        <v>202</v>
      </c>
      <c r="L112" t="s">
        <v>25</v>
      </c>
      <c r="M112" t="s">
        <v>26</v>
      </c>
      <c r="N112">
        <v>103.6</v>
      </c>
      <c r="O112">
        <f>(35.7+35.7)/2</f>
        <v>35.700000000000003</v>
      </c>
      <c r="P112">
        <f>(36.9+37)/2</f>
        <v>36.950000000000003</v>
      </c>
      <c r="Q112">
        <v>68</v>
      </c>
      <c r="R112">
        <v>66</v>
      </c>
      <c r="S112">
        <v>26</v>
      </c>
      <c r="T112">
        <f>(46.6+46.2)/2</f>
        <v>46.400000000000006</v>
      </c>
    </row>
    <row r="113" spans="1:20" x14ac:dyDescent="0.25">
      <c r="A113" t="s">
        <v>314</v>
      </c>
      <c r="B113" t="s">
        <v>315</v>
      </c>
      <c r="C113">
        <v>1</v>
      </c>
      <c r="D113" s="8">
        <v>44170</v>
      </c>
      <c r="E113" t="s">
        <v>161</v>
      </c>
      <c r="F113" t="s">
        <v>30</v>
      </c>
      <c r="G113" t="s">
        <v>259</v>
      </c>
      <c r="H113" s="3" t="s">
        <v>126</v>
      </c>
      <c r="I113">
        <v>1</v>
      </c>
      <c r="J113">
        <v>1</v>
      </c>
      <c r="K113" s="6">
        <v>17</v>
      </c>
      <c r="L113" t="s">
        <v>25</v>
      </c>
      <c r="M113" t="s">
        <v>26</v>
      </c>
      <c r="N113">
        <v>111</v>
      </c>
      <c r="O113">
        <f>(36.2+36.1)/2</f>
        <v>36.150000000000006</v>
      </c>
      <c r="P113">
        <f>(35.6+36.1)/2</f>
        <v>35.85</v>
      </c>
      <c r="Q113">
        <v>87</v>
      </c>
      <c r="R113">
        <v>88</v>
      </c>
      <c r="S113">
        <v>45</v>
      </c>
      <c r="T113">
        <f>(47.8+47.9)/2</f>
        <v>47.849999999999994</v>
      </c>
    </row>
    <row r="114" spans="1:20" x14ac:dyDescent="0.25">
      <c r="A114" t="s">
        <v>316</v>
      </c>
      <c r="B114" t="s">
        <v>317</v>
      </c>
      <c r="C114">
        <v>1</v>
      </c>
      <c r="D114" s="8">
        <v>44173</v>
      </c>
      <c r="E114" t="s">
        <v>131</v>
      </c>
      <c r="F114" t="s">
        <v>318</v>
      </c>
      <c r="G114" t="s">
        <v>97</v>
      </c>
      <c r="H114" s="3">
        <v>2</v>
      </c>
      <c r="I114">
        <v>2</v>
      </c>
      <c r="J114">
        <v>1</v>
      </c>
      <c r="K114" s="6">
        <v>16</v>
      </c>
      <c r="L114" t="s">
        <v>25</v>
      </c>
      <c r="M114" t="s">
        <v>26</v>
      </c>
      <c r="N114">
        <v>108.2</v>
      </c>
      <c r="O114">
        <f>(37.3+37)/2</f>
        <v>37.15</v>
      </c>
      <c r="P114">
        <f>(37.1+37.2)/2</f>
        <v>37.150000000000006</v>
      </c>
      <c r="Q114">
        <v>77</v>
      </c>
      <c r="R114">
        <v>77</v>
      </c>
      <c r="S114">
        <v>33</v>
      </c>
      <c r="T114">
        <f>(47.1+47.2)/2</f>
        <v>47.150000000000006</v>
      </c>
    </row>
    <row r="115" spans="1:20" x14ac:dyDescent="0.25">
      <c r="A115" t="s">
        <v>319</v>
      </c>
      <c r="B115" t="s">
        <v>320</v>
      </c>
      <c r="C115">
        <v>1</v>
      </c>
      <c r="D115" s="8">
        <v>44173</v>
      </c>
      <c r="E115" t="s">
        <v>131</v>
      </c>
      <c r="F115" t="s">
        <v>318</v>
      </c>
      <c r="G115" t="s">
        <v>97</v>
      </c>
      <c r="H115" s="3">
        <v>2</v>
      </c>
      <c r="I115">
        <v>2</v>
      </c>
      <c r="J115">
        <v>2</v>
      </c>
      <c r="K115" s="6">
        <v>16</v>
      </c>
      <c r="L115" t="s">
        <v>25</v>
      </c>
      <c r="M115" t="s">
        <v>26</v>
      </c>
      <c r="N115">
        <v>112.1</v>
      </c>
      <c r="O115">
        <f>(37.5+37.5)/2</f>
        <v>37.5</v>
      </c>
      <c r="P115">
        <f>(38+37.9)/2</f>
        <v>37.950000000000003</v>
      </c>
      <c r="Q115">
        <v>81</v>
      </c>
      <c r="R115">
        <v>82</v>
      </c>
      <c r="S115">
        <v>36</v>
      </c>
      <c r="T115">
        <f>(49.7+49.7)/2</f>
        <v>49.7</v>
      </c>
    </row>
    <row r="116" spans="1:20" x14ac:dyDescent="0.25">
      <c r="A116" t="s">
        <v>321</v>
      </c>
      <c r="B116" t="s">
        <v>281</v>
      </c>
      <c r="C116">
        <v>1</v>
      </c>
      <c r="D116" s="8">
        <v>44173</v>
      </c>
      <c r="E116" t="s">
        <v>322</v>
      </c>
      <c r="F116" t="s">
        <v>323</v>
      </c>
      <c r="G116" t="s">
        <v>324</v>
      </c>
      <c r="H116" s="3">
        <v>1</v>
      </c>
      <c r="I116">
        <v>1</v>
      </c>
      <c r="J116">
        <v>1</v>
      </c>
      <c r="K116" s="6">
        <v>16</v>
      </c>
      <c r="L116" s="12" t="s">
        <v>281</v>
      </c>
      <c r="M116" s="12" t="s">
        <v>281</v>
      </c>
      <c r="N116">
        <v>114.6</v>
      </c>
      <c r="O116" t="s">
        <v>281</v>
      </c>
      <c r="P116">
        <f>(37.4+37.3)/2</f>
        <v>37.349999999999994</v>
      </c>
      <c r="Q116">
        <v>77</v>
      </c>
      <c r="R116">
        <v>81</v>
      </c>
      <c r="S116">
        <v>35</v>
      </c>
      <c r="T116">
        <f>(48.5+48.5)/2</f>
        <v>48.5</v>
      </c>
    </row>
    <row r="117" spans="1:20" x14ac:dyDescent="0.25">
      <c r="A117" t="s">
        <v>325</v>
      </c>
      <c r="B117" t="s">
        <v>326</v>
      </c>
      <c r="C117">
        <v>1</v>
      </c>
      <c r="D117" s="8">
        <v>44180</v>
      </c>
      <c r="E117" t="s">
        <v>327</v>
      </c>
      <c r="F117" t="s">
        <v>30</v>
      </c>
      <c r="G117" t="s">
        <v>30</v>
      </c>
      <c r="H117" s="3">
        <v>3</v>
      </c>
      <c r="I117">
        <v>3</v>
      </c>
      <c r="J117">
        <v>1</v>
      </c>
      <c r="K117" s="6">
        <v>17</v>
      </c>
      <c r="L117" t="s">
        <v>25</v>
      </c>
      <c r="M117" t="s">
        <v>26</v>
      </c>
      <c r="N117">
        <v>90.4</v>
      </c>
      <c r="O117">
        <f>(38.6+38.7)/2</f>
        <v>38.650000000000006</v>
      </c>
      <c r="P117">
        <f>(38+37.9)/2</f>
        <v>37.950000000000003</v>
      </c>
      <c r="Q117">
        <v>74</v>
      </c>
      <c r="R117">
        <v>76</v>
      </c>
      <c r="S117">
        <v>29</v>
      </c>
      <c r="T117">
        <f>(46.8+47.2)/2</f>
        <v>47</v>
      </c>
    </row>
    <row r="118" spans="1:20" x14ac:dyDescent="0.25">
      <c r="A118" t="s">
        <v>328</v>
      </c>
      <c r="B118" t="s">
        <v>329</v>
      </c>
      <c r="C118">
        <v>1</v>
      </c>
      <c r="D118" s="8">
        <v>44180</v>
      </c>
      <c r="E118" t="s">
        <v>327</v>
      </c>
      <c r="F118" t="s">
        <v>30</v>
      </c>
      <c r="G118" t="s">
        <v>30</v>
      </c>
      <c r="H118" s="3">
        <v>3</v>
      </c>
      <c r="I118">
        <v>3</v>
      </c>
      <c r="J118">
        <v>2</v>
      </c>
      <c r="K118" s="6">
        <v>17</v>
      </c>
      <c r="L118" t="s">
        <v>25</v>
      </c>
      <c r="M118" t="s">
        <v>26</v>
      </c>
      <c r="N118">
        <v>94.6</v>
      </c>
      <c r="O118">
        <f>(36.4+36.4)/2</f>
        <v>36.4</v>
      </c>
      <c r="P118">
        <f>(36.4+36.4)/2</f>
        <v>36.4</v>
      </c>
      <c r="Q118">
        <v>67</v>
      </c>
      <c r="R118">
        <v>66</v>
      </c>
      <c r="S118">
        <v>20</v>
      </c>
      <c r="T118">
        <f>(48.1+47.9)/2</f>
        <v>48</v>
      </c>
    </row>
    <row r="119" spans="1:20" x14ac:dyDescent="0.25">
      <c r="A119" t="s">
        <v>330</v>
      </c>
      <c r="B119" t="s">
        <v>331</v>
      </c>
      <c r="C119">
        <v>1</v>
      </c>
      <c r="D119" s="8">
        <v>44180</v>
      </c>
      <c r="E119" t="s">
        <v>327</v>
      </c>
      <c r="F119" t="s">
        <v>30</v>
      </c>
      <c r="G119" t="s">
        <v>30</v>
      </c>
      <c r="H119" s="3">
        <v>3</v>
      </c>
      <c r="I119">
        <v>3</v>
      </c>
      <c r="J119">
        <v>3</v>
      </c>
      <c r="K119" s="6">
        <v>17</v>
      </c>
      <c r="L119" t="s">
        <v>25</v>
      </c>
      <c r="M119" t="s">
        <v>26</v>
      </c>
      <c r="N119">
        <v>115.3</v>
      </c>
      <c r="O119">
        <f>(39.3+39.1)/2</f>
        <v>39.200000000000003</v>
      </c>
      <c r="P119">
        <f>(39.5+39.4)/2</f>
        <v>39.450000000000003</v>
      </c>
      <c r="Q119">
        <v>77</v>
      </c>
      <c r="R119">
        <v>78</v>
      </c>
      <c r="S119">
        <v>30</v>
      </c>
      <c r="T119">
        <f>(49.7+49.3)/2</f>
        <v>49.5</v>
      </c>
    </row>
    <row r="120" spans="1:20" x14ac:dyDescent="0.25">
      <c r="A120" t="s">
        <v>332</v>
      </c>
      <c r="B120" t="s">
        <v>306</v>
      </c>
      <c r="C120">
        <v>1</v>
      </c>
      <c r="D120" s="8">
        <v>44188</v>
      </c>
      <c r="E120" t="s">
        <v>223</v>
      </c>
      <c r="F120" t="s">
        <v>333</v>
      </c>
      <c r="G120" t="s">
        <v>30</v>
      </c>
      <c r="H120" s="3">
        <v>2</v>
      </c>
      <c r="I120">
        <v>2</v>
      </c>
      <c r="J120">
        <v>1</v>
      </c>
      <c r="K120" s="6">
        <v>16</v>
      </c>
      <c r="L120" t="s">
        <v>25</v>
      </c>
      <c r="M120" t="s">
        <v>26</v>
      </c>
      <c r="N120">
        <v>87</v>
      </c>
      <c r="O120">
        <f>(36.4+36.6)/2</f>
        <v>36.5</v>
      </c>
      <c r="P120">
        <f>(36.8+36.6)/2</f>
        <v>36.700000000000003</v>
      </c>
      <c r="Q120">
        <v>63</v>
      </c>
      <c r="R120">
        <v>64</v>
      </c>
      <c r="S120">
        <v>20</v>
      </c>
      <c r="T120">
        <f>(44.4+44.8)/2</f>
        <v>44.599999999999994</v>
      </c>
    </row>
    <row r="121" spans="1:20" x14ac:dyDescent="0.25">
      <c r="A121" t="s">
        <v>334</v>
      </c>
      <c r="B121" t="s">
        <v>335</v>
      </c>
      <c r="C121">
        <v>1</v>
      </c>
      <c r="D121" s="8">
        <v>44188</v>
      </c>
      <c r="E121" t="s">
        <v>223</v>
      </c>
      <c r="F121" t="s">
        <v>333</v>
      </c>
      <c r="G121" t="s">
        <v>30</v>
      </c>
      <c r="H121" s="3">
        <v>2</v>
      </c>
      <c r="I121">
        <v>2</v>
      </c>
      <c r="J121">
        <v>2</v>
      </c>
      <c r="K121" s="6">
        <v>16</v>
      </c>
      <c r="L121" t="s">
        <v>25</v>
      </c>
      <c r="M121" t="s">
        <v>26</v>
      </c>
      <c r="N121">
        <v>73.8</v>
      </c>
      <c r="O121">
        <f>(35.9+36.1)/2</f>
        <v>36</v>
      </c>
      <c r="P121">
        <f>(35.4+35.7)/2</f>
        <v>35.549999999999997</v>
      </c>
      <c r="Q121">
        <v>64</v>
      </c>
      <c r="R121">
        <v>63</v>
      </c>
      <c r="S121">
        <v>20</v>
      </c>
      <c r="T121">
        <f>(45.5+45.2)/2</f>
        <v>45.35</v>
      </c>
    </row>
    <row r="122" spans="1:20" x14ac:dyDescent="0.25">
      <c r="A122" t="s">
        <v>336</v>
      </c>
      <c r="B122" t="s">
        <v>33</v>
      </c>
      <c r="C122">
        <v>1</v>
      </c>
      <c r="D122" s="8">
        <v>44206</v>
      </c>
      <c r="E122" t="s">
        <v>244</v>
      </c>
      <c r="F122" t="s">
        <v>103</v>
      </c>
      <c r="G122" t="s">
        <v>245</v>
      </c>
      <c r="H122" s="3">
        <v>3</v>
      </c>
      <c r="I122">
        <v>2</v>
      </c>
      <c r="J122">
        <v>1</v>
      </c>
      <c r="K122" s="6">
        <v>16</v>
      </c>
      <c r="L122" t="s">
        <v>337</v>
      </c>
      <c r="M122" t="s">
        <v>338</v>
      </c>
      <c r="N122">
        <v>100.8</v>
      </c>
      <c r="O122">
        <f>(39.6+39.4)/2</f>
        <v>39.5</v>
      </c>
      <c r="P122">
        <f>(40.1+40.1)/2</f>
        <v>40.1</v>
      </c>
      <c r="Q122">
        <v>77</v>
      </c>
      <c r="R122">
        <v>79</v>
      </c>
      <c r="S122">
        <v>30</v>
      </c>
      <c r="T122">
        <f>(49.1+49.1)/2</f>
        <v>49.1</v>
      </c>
    </row>
    <row r="123" spans="1:20" x14ac:dyDescent="0.25">
      <c r="A123" t="s">
        <v>339</v>
      </c>
      <c r="B123" t="s">
        <v>296</v>
      </c>
      <c r="C123">
        <v>1</v>
      </c>
      <c r="D123" s="8">
        <v>44206</v>
      </c>
      <c r="E123" t="s">
        <v>244</v>
      </c>
      <c r="F123" t="s">
        <v>103</v>
      </c>
      <c r="G123" t="s">
        <v>245</v>
      </c>
      <c r="H123" s="3">
        <v>3</v>
      </c>
      <c r="I123">
        <v>2</v>
      </c>
      <c r="J123">
        <v>2</v>
      </c>
      <c r="K123" s="6">
        <v>16</v>
      </c>
      <c r="L123" t="s">
        <v>25</v>
      </c>
      <c r="M123" t="s">
        <v>26</v>
      </c>
      <c r="N123">
        <v>87.2</v>
      </c>
      <c r="O123">
        <f>(35.3+35.2)/2</f>
        <v>35.25</v>
      </c>
      <c r="P123">
        <f>(35.1+35.5)/2</f>
        <v>35.299999999999997</v>
      </c>
      <c r="Q123">
        <v>71</v>
      </c>
      <c r="R123">
        <v>72</v>
      </c>
      <c r="S123">
        <v>21</v>
      </c>
      <c r="T123">
        <f>(47.3+46.8)/2</f>
        <v>47.05</v>
      </c>
    </row>
    <row r="124" spans="1:20" x14ac:dyDescent="0.25">
      <c r="A124" t="s">
        <v>340</v>
      </c>
      <c r="B124" t="s">
        <v>61</v>
      </c>
      <c r="C124">
        <v>1</v>
      </c>
      <c r="D124" s="8">
        <v>44215</v>
      </c>
      <c r="E124" t="s">
        <v>341</v>
      </c>
      <c r="F124" t="s">
        <v>342</v>
      </c>
      <c r="G124" t="s">
        <v>30</v>
      </c>
      <c r="H124" s="3" t="s">
        <v>126</v>
      </c>
      <c r="I124" t="s">
        <v>126</v>
      </c>
      <c r="J124">
        <v>1</v>
      </c>
      <c r="K124" t="s">
        <v>343</v>
      </c>
      <c r="L124" t="s">
        <v>337</v>
      </c>
      <c r="M124" t="s">
        <v>338</v>
      </c>
      <c r="N124">
        <v>79.2</v>
      </c>
      <c r="Q124">
        <v>135</v>
      </c>
      <c r="R124">
        <v>136</v>
      </c>
      <c r="S124" s="12">
        <v>10.3</v>
      </c>
    </row>
    <row r="125" spans="1:20" x14ac:dyDescent="0.25">
      <c r="A125" t="s">
        <v>344</v>
      </c>
      <c r="B125" t="s">
        <v>43</v>
      </c>
      <c r="C125">
        <v>1</v>
      </c>
      <c r="D125" s="8">
        <v>44218</v>
      </c>
      <c r="E125" t="s">
        <v>149</v>
      </c>
      <c r="F125" t="s">
        <v>274</v>
      </c>
      <c r="G125" t="s">
        <v>47</v>
      </c>
      <c r="H125" s="3">
        <v>2</v>
      </c>
      <c r="I125">
        <v>2</v>
      </c>
      <c r="J125">
        <v>1</v>
      </c>
      <c r="K125" s="6">
        <v>16</v>
      </c>
      <c r="L125" t="s">
        <v>337</v>
      </c>
      <c r="M125" t="s">
        <v>338</v>
      </c>
      <c r="N125">
        <v>96.4</v>
      </c>
      <c r="O125">
        <f>(37+37)/2</f>
        <v>37</v>
      </c>
      <c r="P125">
        <f>(37.1+37.4)/2</f>
        <v>37.25</v>
      </c>
      <c r="Q125">
        <v>76</v>
      </c>
      <c r="R125">
        <v>75</v>
      </c>
      <c r="S125">
        <v>30</v>
      </c>
      <c r="T125">
        <f>(47.1+47.1)/2</f>
        <v>47.1</v>
      </c>
    </row>
    <row r="126" spans="1:20" x14ac:dyDescent="0.25">
      <c r="A126" t="s">
        <v>345</v>
      </c>
      <c r="B126" t="s">
        <v>93</v>
      </c>
      <c r="C126">
        <v>1</v>
      </c>
      <c r="D126" s="8">
        <v>44218</v>
      </c>
      <c r="E126" t="s">
        <v>149</v>
      </c>
      <c r="F126" t="s">
        <v>274</v>
      </c>
      <c r="G126" t="s">
        <v>47</v>
      </c>
      <c r="H126" s="3">
        <v>2</v>
      </c>
      <c r="I126">
        <v>2</v>
      </c>
      <c r="J126">
        <v>2</v>
      </c>
      <c r="K126" s="6">
        <v>16</v>
      </c>
      <c r="L126" t="s">
        <v>337</v>
      </c>
      <c r="M126" t="s">
        <v>338</v>
      </c>
      <c r="N126">
        <v>104</v>
      </c>
      <c r="O126">
        <f>(35.7+36.1)/2</f>
        <v>35.900000000000006</v>
      </c>
      <c r="P126">
        <f>(36.6+36.9)/2</f>
        <v>36.75</v>
      </c>
      <c r="Q126">
        <v>68</v>
      </c>
      <c r="R126">
        <v>67</v>
      </c>
      <c r="S126">
        <v>24</v>
      </c>
      <c r="T126">
        <f>(45.4+45.3)/2</f>
        <v>45.349999999999994</v>
      </c>
    </row>
    <row r="127" spans="1:20" x14ac:dyDescent="0.25">
      <c r="A127" t="s">
        <v>346</v>
      </c>
      <c r="B127" t="s">
        <v>95</v>
      </c>
      <c r="C127">
        <v>1</v>
      </c>
      <c r="D127" s="8">
        <v>44218</v>
      </c>
      <c r="E127" t="s">
        <v>266</v>
      </c>
      <c r="F127" t="s">
        <v>30</v>
      </c>
      <c r="G127" t="s">
        <v>30</v>
      </c>
      <c r="H127" s="3">
        <v>3</v>
      </c>
      <c r="I127">
        <v>2</v>
      </c>
      <c r="J127">
        <v>1</v>
      </c>
      <c r="K127" s="6">
        <v>16</v>
      </c>
      <c r="L127" t="s">
        <v>337</v>
      </c>
      <c r="M127" t="s">
        <v>338</v>
      </c>
      <c r="N127">
        <v>95.6</v>
      </c>
      <c r="O127">
        <f>(36.6+36.3)/2</f>
        <v>36.450000000000003</v>
      </c>
      <c r="P127">
        <f>(36.4+36.6)/2</f>
        <v>36.5</v>
      </c>
      <c r="Q127">
        <v>73</v>
      </c>
      <c r="R127">
        <v>74</v>
      </c>
      <c r="S127">
        <v>28</v>
      </c>
      <c r="T127">
        <f>(47+47.3)/2</f>
        <v>47.15</v>
      </c>
    </row>
    <row r="128" spans="1:20" x14ac:dyDescent="0.25">
      <c r="A128" t="s">
        <v>347</v>
      </c>
      <c r="B128" t="s">
        <v>73</v>
      </c>
      <c r="C128">
        <v>1</v>
      </c>
      <c r="D128" s="8">
        <v>44218</v>
      </c>
      <c r="E128" t="s">
        <v>266</v>
      </c>
      <c r="F128" t="s">
        <v>30</v>
      </c>
      <c r="G128" t="s">
        <v>30</v>
      </c>
      <c r="H128" s="3">
        <v>3</v>
      </c>
      <c r="I128">
        <v>2</v>
      </c>
      <c r="J128">
        <v>2</v>
      </c>
      <c r="K128" s="6">
        <v>16</v>
      </c>
      <c r="L128" t="s">
        <v>337</v>
      </c>
      <c r="M128" t="s">
        <v>338</v>
      </c>
      <c r="N128">
        <v>115.4</v>
      </c>
      <c r="O128">
        <f>(37.1+37.4)/2</f>
        <v>37.25</v>
      </c>
      <c r="P128">
        <f>(37.7+37.5)/2</f>
        <v>37.6</v>
      </c>
      <c r="Q128">
        <v>84</v>
      </c>
      <c r="R128">
        <v>83</v>
      </c>
      <c r="S128">
        <v>35</v>
      </c>
      <c r="T128">
        <f>(49.6+49.5)/2</f>
        <v>49.55</v>
      </c>
    </row>
    <row r="129" spans="1:20" x14ac:dyDescent="0.25">
      <c r="A129" t="s">
        <v>348</v>
      </c>
      <c r="B129" t="s">
        <v>306</v>
      </c>
      <c r="C129">
        <v>1</v>
      </c>
      <c r="D129" s="8">
        <v>44508</v>
      </c>
      <c r="E129" t="s">
        <v>124</v>
      </c>
      <c r="F129" t="s">
        <v>30</v>
      </c>
      <c r="G129" t="s">
        <v>125</v>
      </c>
      <c r="H129" s="3" t="s">
        <v>71</v>
      </c>
      <c r="I129">
        <v>1</v>
      </c>
      <c r="J129">
        <v>1</v>
      </c>
      <c r="K129" s="6">
        <v>17</v>
      </c>
      <c r="L129" t="s">
        <v>337</v>
      </c>
      <c r="M129" t="s">
        <v>338</v>
      </c>
      <c r="N129">
        <v>103</v>
      </c>
      <c r="O129">
        <f>(37.2+37.5)/2</f>
        <v>37.35</v>
      </c>
      <c r="P129">
        <f>(35.85+36.75)/2</f>
        <v>36.299999999999997</v>
      </c>
      <c r="Q129">
        <v>77</v>
      </c>
      <c r="R129">
        <v>78</v>
      </c>
      <c r="S129">
        <v>25.5</v>
      </c>
      <c r="T129">
        <f>(47.3+47.75)/2</f>
        <v>47.524999999999999</v>
      </c>
    </row>
    <row r="130" spans="1:20" x14ac:dyDescent="0.25">
      <c r="A130" t="s">
        <v>349</v>
      </c>
      <c r="B130" t="s">
        <v>102</v>
      </c>
      <c r="C130">
        <v>1</v>
      </c>
      <c r="D130" s="8">
        <v>44511</v>
      </c>
      <c r="E130" t="s">
        <v>350</v>
      </c>
      <c r="F130" t="s">
        <v>280</v>
      </c>
      <c r="G130" t="s">
        <v>30</v>
      </c>
      <c r="H130" s="3">
        <v>3</v>
      </c>
      <c r="I130">
        <v>1</v>
      </c>
      <c r="J130">
        <v>1</v>
      </c>
      <c r="K130" s="6">
        <v>17</v>
      </c>
      <c r="L130" t="s">
        <v>337</v>
      </c>
      <c r="M130" t="s">
        <v>338</v>
      </c>
      <c r="N130">
        <v>57.5</v>
      </c>
      <c r="O130">
        <f>(33.4+33.05)/2</f>
        <v>33.224999999999994</v>
      </c>
      <c r="P130">
        <f>(33.8+33.35)/2</f>
        <v>33.575000000000003</v>
      </c>
      <c r="Q130">
        <v>61</v>
      </c>
      <c r="R130">
        <v>61</v>
      </c>
      <c r="S130">
        <v>19</v>
      </c>
      <c r="T130">
        <f>+(43.5+43.5)/2</f>
        <v>43.5</v>
      </c>
    </row>
    <row r="131" spans="1:20" x14ac:dyDescent="0.25">
      <c r="A131" t="s">
        <v>351</v>
      </c>
      <c r="B131" t="s">
        <v>352</v>
      </c>
      <c r="C131">
        <v>1</v>
      </c>
      <c r="D131" s="8">
        <v>44517</v>
      </c>
      <c r="E131" t="s">
        <v>146</v>
      </c>
      <c r="F131" t="s">
        <v>353</v>
      </c>
      <c r="G131" t="s">
        <v>354</v>
      </c>
      <c r="H131" s="3">
        <v>3</v>
      </c>
      <c r="I131">
        <v>1</v>
      </c>
      <c r="J131">
        <v>1</v>
      </c>
      <c r="K131" s="6">
        <v>17</v>
      </c>
      <c r="L131" t="s">
        <v>337</v>
      </c>
      <c r="M131" t="s">
        <v>338</v>
      </c>
      <c r="N131">
        <v>92.3</v>
      </c>
      <c r="O131">
        <f>(34.3+34.4)/2</f>
        <v>34.349999999999994</v>
      </c>
      <c r="P131">
        <f>(35.2+35.2)/2</f>
        <v>35.200000000000003</v>
      </c>
      <c r="Q131">
        <v>65</v>
      </c>
      <c r="R131">
        <v>64</v>
      </c>
      <c r="S131">
        <v>17</v>
      </c>
      <c r="T131">
        <f>(44.9+44.5)/2</f>
        <v>44.7</v>
      </c>
    </row>
    <row r="132" spans="1:20" x14ac:dyDescent="0.25">
      <c r="A132" t="s">
        <v>355</v>
      </c>
      <c r="B132" t="s">
        <v>105</v>
      </c>
      <c r="C132">
        <v>1</v>
      </c>
      <c r="D132" s="8">
        <v>44518</v>
      </c>
      <c r="E132" t="s">
        <v>313</v>
      </c>
      <c r="F132" t="s">
        <v>30</v>
      </c>
      <c r="G132" t="s">
        <v>30</v>
      </c>
      <c r="H132" s="3" t="s">
        <v>126</v>
      </c>
      <c r="I132">
        <v>2</v>
      </c>
      <c r="J132">
        <v>1</v>
      </c>
      <c r="K132" s="6">
        <v>17</v>
      </c>
      <c r="L132" t="s">
        <v>337</v>
      </c>
      <c r="M132" t="s">
        <v>338</v>
      </c>
      <c r="N132">
        <v>56.2</v>
      </c>
      <c r="O132">
        <f>(29.1+29.2)/2</f>
        <v>29.15</v>
      </c>
      <c r="P132">
        <f>(29.3+29.3)/2</f>
        <v>29.3</v>
      </c>
      <c r="Q132">
        <v>36</v>
      </c>
      <c r="R132">
        <v>38</v>
      </c>
      <c r="S132">
        <v>12</v>
      </c>
      <c r="T132">
        <f>(41.8+41.5)/2</f>
        <v>41.65</v>
      </c>
    </row>
    <row r="133" spans="1:20" x14ac:dyDescent="0.25">
      <c r="A133" t="s">
        <v>356</v>
      </c>
      <c r="B133" t="s">
        <v>75</v>
      </c>
      <c r="C133">
        <v>1</v>
      </c>
      <c r="D133" s="8">
        <v>44523</v>
      </c>
      <c r="E133" t="s">
        <v>266</v>
      </c>
      <c r="F133" t="s">
        <v>30</v>
      </c>
      <c r="G133" t="s">
        <v>30</v>
      </c>
      <c r="H133" s="3">
        <v>3</v>
      </c>
      <c r="I133">
        <v>3</v>
      </c>
      <c r="J133">
        <v>1</v>
      </c>
      <c r="K133" s="6">
        <v>17</v>
      </c>
      <c r="L133" t="s">
        <v>337</v>
      </c>
      <c r="M133" t="s">
        <v>338</v>
      </c>
      <c r="N133">
        <v>53.2</v>
      </c>
      <c r="O133">
        <f>(34.4+33.9)/2</f>
        <v>34.15</v>
      </c>
      <c r="P133">
        <f>(34.1+33.5)/2</f>
        <v>33.799999999999997</v>
      </c>
      <c r="Q133">
        <v>63</v>
      </c>
      <c r="R133">
        <v>62</v>
      </c>
      <c r="S133">
        <v>14</v>
      </c>
      <c r="T133">
        <f>(43.8+43.4)/2</f>
        <v>43.599999999999994</v>
      </c>
    </row>
    <row r="134" spans="1:20" x14ac:dyDescent="0.25">
      <c r="A134" t="s">
        <v>357</v>
      </c>
      <c r="B134" t="s">
        <v>110</v>
      </c>
      <c r="C134">
        <v>1</v>
      </c>
      <c r="D134" s="8">
        <v>44523</v>
      </c>
      <c r="E134" t="s">
        <v>266</v>
      </c>
      <c r="F134" t="s">
        <v>30</v>
      </c>
      <c r="G134" t="s">
        <v>30</v>
      </c>
      <c r="H134" s="3">
        <v>3</v>
      </c>
      <c r="I134">
        <v>3</v>
      </c>
      <c r="J134">
        <v>1</v>
      </c>
      <c r="K134" s="6">
        <v>17</v>
      </c>
      <c r="L134" t="s">
        <v>337</v>
      </c>
      <c r="M134" t="s">
        <v>338</v>
      </c>
      <c r="N134">
        <v>76.900000000000006</v>
      </c>
      <c r="O134">
        <f>(34.1+34.1)/2</f>
        <v>34.1</v>
      </c>
      <c r="P134">
        <f>(33.7+33.4)/2</f>
        <v>33.549999999999997</v>
      </c>
      <c r="Q134">
        <v>60</v>
      </c>
      <c r="R134">
        <v>61</v>
      </c>
      <c r="S134">
        <v>16</v>
      </c>
      <c r="T134">
        <f>(43.1+43.3)/2</f>
        <v>43.2</v>
      </c>
    </row>
    <row r="135" spans="1:20" x14ac:dyDescent="0.25">
      <c r="A135" t="s">
        <v>358</v>
      </c>
      <c r="B135" t="s">
        <v>51</v>
      </c>
      <c r="C135">
        <v>1</v>
      </c>
      <c r="D135" s="8">
        <v>44523</v>
      </c>
      <c r="E135" t="s">
        <v>266</v>
      </c>
      <c r="F135" t="s">
        <v>30</v>
      </c>
      <c r="G135" t="s">
        <v>30</v>
      </c>
      <c r="H135" s="3">
        <v>3</v>
      </c>
      <c r="I135">
        <v>3</v>
      </c>
      <c r="J135">
        <v>1</v>
      </c>
      <c r="K135" s="6">
        <v>17</v>
      </c>
      <c r="L135" t="s">
        <v>337</v>
      </c>
      <c r="M135" t="s">
        <v>338</v>
      </c>
      <c r="N135">
        <v>88.9</v>
      </c>
      <c r="O135">
        <f>(36.9+36.7)/2</f>
        <v>36.799999999999997</v>
      </c>
      <c r="P135">
        <f>(36.4+36.3)/2</f>
        <v>36.349999999999994</v>
      </c>
      <c r="Q135">
        <v>75</v>
      </c>
      <c r="R135">
        <v>76</v>
      </c>
      <c r="S135">
        <v>31</v>
      </c>
      <c r="T135">
        <f>(43.8+44.3)/2</f>
        <v>44.05</v>
      </c>
    </row>
    <row r="136" spans="1:20" x14ac:dyDescent="0.25">
      <c r="A136" t="s">
        <v>359</v>
      </c>
      <c r="B136" t="s">
        <v>56</v>
      </c>
      <c r="C136">
        <v>1</v>
      </c>
      <c r="D136" s="8">
        <v>44524</v>
      </c>
      <c r="E136" t="s">
        <v>149</v>
      </c>
      <c r="F136" t="s">
        <v>274</v>
      </c>
      <c r="G136" t="s">
        <v>47</v>
      </c>
      <c r="H136" s="3" t="s">
        <v>71</v>
      </c>
      <c r="I136">
        <v>1</v>
      </c>
      <c r="J136">
        <v>1</v>
      </c>
      <c r="K136" s="6">
        <v>17</v>
      </c>
      <c r="L136" t="s">
        <v>337</v>
      </c>
      <c r="M136" t="s">
        <v>338</v>
      </c>
      <c r="N136">
        <v>90.1</v>
      </c>
      <c r="O136">
        <f>(33.2+33.4)/2</f>
        <v>33.299999999999997</v>
      </c>
      <c r="P136">
        <f>(33.5+33.2)/2</f>
        <v>33.35</v>
      </c>
      <c r="Q136">
        <v>64</v>
      </c>
      <c r="R136">
        <v>63</v>
      </c>
      <c r="S136">
        <v>25</v>
      </c>
      <c r="T136">
        <f>(44.2+44.7)/2</f>
        <v>44.45</v>
      </c>
    </row>
    <row r="137" spans="1:20" x14ac:dyDescent="0.25">
      <c r="A137" t="s">
        <v>360</v>
      </c>
      <c r="B137" t="s">
        <v>361</v>
      </c>
      <c r="C137">
        <v>1</v>
      </c>
      <c r="D137" s="8">
        <v>44526</v>
      </c>
      <c r="E137" t="s">
        <v>135</v>
      </c>
      <c r="F137" t="s">
        <v>30</v>
      </c>
      <c r="G137" t="s">
        <v>41</v>
      </c>
      <c r="H137" s="3" t="s">
        <v>126</v>
      </c>
      <c r="I137">
        <v>1</v>
      </c>
      <c r="J137">
        <v>1</v>
      </c>
      <c r="L137" t="s">
        <v>337</v>
      </c>
      <c r="M137" t="s">
        <v>338</v>
      </c>
      <c r="N137">
        <v>106.8</v>
      </c>
      <c r="O137">
        <f>(29.2+29.2)/2</f>
        <v>29.2</v>
      </c>
      <c r="P137">
        <f>(29.8+29.7)/2</f>
        <v>29.75</v>
      </c>
      <c r="Q137">
        <v>60</v>
      </c>
      <c r="R137">
        <v>59</v>
      </c>
      <c r="S137">
        <v>23</v>
      </c>
      <c r="T137">
        <f>(45+45)/2</f>
        <v>45</v>
      </c>
    </row>
    <row r="138" spans="1:20" x14ac:dyDescent="0.25">
      <c r="A138" t="s">
        <v>362</v>
      </c>
      <c r="B138" t="s">
        <v>363</v>
      </c>
      <c r="C138">
        <v>1</v>
      </c>
      <c r="D138" s="8">
        <v>44526</v>
      </c>
      <c r="E138" t="s">
        <v>34</v>
      </c>
      <c r="F138" t="s">
        <v>364</v>
      </c>
      <c r="G138" t="s">
        <v>30</v>
      </c>
      <c r="H138" s="3">
        <v>2</v>
      </c>
      <c r="I138">
        <v>1</v>
      </c>
      <c r="J138">
        <v>1</v>
      </c>
      <c r="K138" s="6">
        <v>17</v>
      </c>
      <c r="L138" t="s">
        <v>337</v>
      </c>
      <c r="M138" t="s">
        <v>338</v>
      </c>
      <c r="N138">
        <v>71.5</v>
      </c>
      <c r="O138">
        <f>(34.9+34.9)/2</f>
        <v>34.9</v>
      </c>
      <c r="P138">
        <f>(34.6+34.7)/2</f>
        <v>34.650000000000006</v>
      </c>
      <c r="Q138">
        <v>68</v>
      </c>
      <c r="R138">
        <v>68</v>
      </c>
      <c r="S138">
        <v>28</v>
      </c>
      <c r="T138">
        <f>(45.7+45.5)/2</f>
        <v>45.6</v>
      </c>
    </row>
    <row r="139" spans="1:20" x14ac:dyDescent="0.25">
      <c r="A139" t="s">
        <v>365</v>
      </c>
      <c r="B139" t="s">
        <v>113</v>
      </c>
      <c r="C139">
        <v>1</v>
      </c>
      <c r="D139" s="8">
        <v>44526</v>
      </c>
      <c r="E139" t="s">
        <v>288</v>
      </c>
      <c r="F139" t="s">
        <v>30</v>
      </c>
      <c r="G139" t="s">
        <v>30</v>
      </c>
      <c r="H139" s="3" t="s">
        <v>126</v>
      </c>
      <c r="I139">
        <v>1</v>
      </c>
      <c r="J139">
        <v>1</v>
      </c>
      <c r="L139" t="s">
        <v>337</v>
      </c>
      <c r="M139" t="s">
        <v>338</v>
      </c>
      <c r="N139">
        <v>79.5</v>
      </c>
      <c r="O139">
        <f>(35+34.9)/2</f>
        <v>34.950000000000003</v>
      </c>
      <c r="P139">
        <f>(34.7+34.9)/2</f>
        <v>34.799999999999997</v>
      </c>
      <c r="Q139">
        <v>71</v>
      </c>
      <c r="R139">
        <v>71</v>
      </c>
      <c r="S139">
        <v>25</v>
      </c>
      <c r="T139">
        <f>(47.2+47.4)/2</f>
        <v>47.3</v>
      </c>
    </row>
    <row r="140" spans="1:20" x14ac:dyDescent="0.25">
      <c r="A140" t="s">
        <v>366</v>
      </c>
      <c r="B140" t="s">
        <v>119</v>
      </c>
      <c r="C140">
        <v>1</v>
      </c>
      <c r="D140" s="8">
        <v>44530</v>
      </c>
      <c r="E140" t="s">
        <v>322</v>
      </c>
      <c r="F140" t="s">
        <v>323</v>
      </c>
      <c r="G140" t="s">
        <v>367</v>
      </c>
      <c r="H140" s="3">
        <v>2</v>
      </c>
      <c r="I140">
        <v>2</v>
      </c>
      <c r="J140">
        <v>1</v>
      </c>
      <c r="K140" s="6">
        <v>17</v>
      </c>
      <c r="L140" t="s">
        <v>337</v>
      </c>
      <c r="M140" t="s">
        <v>338</v>
      </c>
      <c r="N140">
        <v>100.4</v>
      </c>
      <c r="O140">
        <f>(46.1+46.4)/2</f>
        <v>46.25</v>
      </c>
      <c r="P140">
        <f>(46.5+46.6)/2</f>
        <v>46.55</v>
      </c>
      <c r="Q140">
        <v>70</v>
      </c>
      <c r="R140">
        <v>72</v>
      </c>
      <c r="S140">
        <v>29</v>
      </c>
      <c r="T140">
        <f>(49.5+50)/2</f>
        <v>49.75</v>
      </c>
    </row>
    <row r="141" spans="1:20" x14ac:dyDescent="0.25">
      <c r="A141" t="s">
        <v>368</v>
      </c>
      <c r="B141" t="s">
        <v>116</v>
      </c>
      <c r="C141">
        <v>1</v>
      </c>
      <c r="D141" s="8">
        <v>44530</v>
      </c>
      <c r="E141" t="s">
        <v>322</v>
      </c>
      <c r="F141" t="s">
        <v>323</v>
      </c>
      <c r="G141" t="s">
        <v>367</v>
      </c>
      <c r="H141" s="3">
        <v>2</v>
      </c>
      <c r="I141">
        <v>2</v>
      </c>
      <c r="J141">
        <v>2</v>
      </c>
      <c r="K141">
        <v>17</v>
      </c>
      <c r="L141" t="s">
        <v>337</v>
      </c>
      <c r="M141" t="s">
        <v>338</v>
      </c>
      <c r="N141">
        <v>99.5</v>
      </c>
      <c r="O141">
        <f>(36+36.1)/2</f>
        <v>36.049999999999997</v>
      </c>
      <c r="P141">
        <f>(36.7+36.7)/2</f>
        <v>36.700000000000003</v>
      </c>
      <c r="Q141">
        <v>60</v>
      </c>
      <c r="R141">
        <v>60</v>
      </c>
      <c r="S141">
        <v>19</v>
      </c>
      <c r="T141">
        <f>(47.1+47.5)/2</f>
        <v>47.3</v>
      </c>
    </row>
    <row r="142" spans="1:20" x14ac:dyDescent="0.25">
      <c r="A142" t="s">
        <v>369</v>
      </c>
      <c r="B142" t="s">
        <v>123</v>
      </c>
      <c r="C142">
        <v>1</v>
      </c>
      <c r="D142" s="8">
        <v>44531</v>
      </c>
      <c r="E142" t="s">
        <v>231</v>
      </c>
      <c r="F142" t="s">
        <v>232</v>
      </c>
      <c r="G142" t="s">
        <v>233</v>
      </c>
      <c r="H142" s="3">
        <v>2</v>
      </c>
      <c r="I142">
        <v>1</v>
      </c>
      <c r="J142">
        <v>1</v>
      </c>
      <c r="K142" s="6">
        <v>16</v>
      </c>
      <c r="L142" t="s">
        <v>337</v>
      </c>
      <c r="M142" t="s">
        <v>338</v>
      </c>
      <c r="N142">
        <v>83.6</v>
      </c>
      <c r="O142">
        <f>(34.2+34.2)/2</f>
        <v>34.200000000000003</v>
      </c>
      <c r="P142">
        <f>(35.8+35.4)/2</f>
        <v>35.599999999999994</v>
      </c>
      <c r="Q142">
        <v>62</v>
      </c>
      <c r="R142">
        <v>61</v>
      </c>
      <c r="S142">
        <v>12</v>
      </c>
      <c r="T142">
        <f>(45.05+45.4)/2</f>
        <v>45.224999999999994</v>
      </c>
    </row>
    <row r="143" spans="1:20" x14ac:dyDescent="0.25">
      <c r="A143" t="s">
        <v>370</v>
      </c>
      <c r="B143" t="s">
        <v>134</v>
      </c>
      <c r="C143">
        <v>1</v>
      </c>
      <c r="D143" s="8">
        <v>44534</v>
      </c>
      <c r="E143" t="s">
        <v>371</v>
      </c>
      <c r="F143" t="s">
        <v>90</v>
      </c>
      <c r="G143" t="s">
        <v>372</v>
      </c>
      <c r="H143" s="3" t="s">
        <v>126</v>
      </c>
      <c r="I143">
        <v>3</v>
      </c>
      <c r="J143">
        <v>1</v>
      </c>
      <c r="K143">
        <v>17</v>
      </c>
      <c r="L143" t="s">
        <v>337</v>
      </c>
      <c r="M143" t="s">
        <v>338</v>
      </c>
      <c r="N143">
        <v>80.7</v>
      </c>
      <c r="O143">
        <f>(34.5+34.5)/2</f>
        <v>34.5</v>
      </c>
      <c r="P143">
        <f>(34.5+34.5)/2</f>
        <v>34.5</v>
      </c>
      <c r="Q143">
        <v>63</v>
      </c>
      <c r="R143">
        <v>68</v>
      </c>
      <c r="S143">
        <v>23</v>
      </c>
      <c r="T143">
        <f>(47.6+47.2)/2</f>
        <v>47.400000000000006</v>
      </c>
    </row>
    <row r="144" spans="1:20" x14ac:dyDescent="0.25">
      <c r="A144" t="s">
        <v>373</v>
      </c>
      <c r="B144" t="s">
        <v>148</v>
      </c>
      <c r="C144">
        <v>1</v>
      </c>
      <c r="D144" s="8">
        <v>44534</v>
      </c>
      <c r="E144" t="s">
        <v>371</v>
      </c>
      <c r="F144" t="s">
        <v>90</v>
      </c>
      <c r="G144" t="s">
        <v>372</v>
      </c>
      <c r="H144" s="3" t="s">
        <v>126</v>
      </c>
      <c r="I144">
        <v>3</v>
      </c>
      <c r="J144">
        <v>2</v>
      </c>
      <c r="K144">
        <v>17</v>
      </c>
      <c r="L144" t="s">
        <v>337</v>
      </c>
      <c r="M144" t="s">
        <v>338</v>
      </c>
      <c r="N144">
        <v>90</v>
      </c>
      <c r="O144">
        <f>(36.1+36.1)/2</f>
        <v>36.1</v>
      </c>
      <c r="P144">
        <f>(35.9+36.1)/2</f>
        <v>36</v>
      </c>
      <c r="Q144">
        <v>79</v>
      </c>
      <c r="R144">
        <v>84</v>
      </c>
      <c r="S144">
        <v>40</v>
      </c>
      <c r="T144">
        <f>(49.5+50.1)/2</f>
        <v>49.8</v>
      </c>
    </row>
    <row r="145" spans="1:20" x14ac:dyDescent="0.25">
      <c r="A145" t="s">
        <v>374</v>
      </c>
      <c r="B145" t="s">
        <v>155</v>
      </c>
      <c r="C145">
        <v>1</v>
      </c>
      <c r="D145" s="8">
        <v>44534</v>
      </c>
      <c r="E145" t="s">
        <v>371</v>
      </c>
      <c r="F145" t="s">
        <v>90</v>
      </c>
      <c r="G145" t="s">
        <v>372</v>
      </c>
      <c r="H145" s="3" t="s">
        <v>126</v>
      </c>
      <c r="I145">
        <v>3</v>
      </c>
      <c r="J145">
        <v>3</v>
      </c>
      <c r="K145">
        <v>17</v>
      </c>
      <c r="L145" t="s">
        <v>337</v>
      </c>
      <c r="M145" t="s">
        <v>338</v>
      </c>
      <c r="N145">
        <v>86.2</v>
      </c>
      <c r="O145">
        <f>(36.7+36.6)/2</f>
        <v>36.650000000000006</v>
      </c>
      <c r="P145">
        <f>(36.4+36.3)/2</f>
        <v>36.349999999999994</v>
      </c>
      <c r="Q145">
        <v>75</v>
      </c>
      <c r="R145">
        <v>78</v>
      </c>
      <c r="S145">
        <v>36</v>
      </c>
      <c r="T145">
        <f>(48.2+48.4)/2</f>
        <v>48.3</v>
      </c>
    </row>
    <row r="146" spans="1:20" x14ac:dyDescent="0.25">
      <c r="A146" t="s">
        <v>375</v>
      </c>
      <c r="B146" t="s">
        <v>128</v>
      </c>
      <c r="C146">
        <v>1</v>
      </c>
      <c r="D146" s="8">
        <v>44534</v>
      </c>
      <c r="E146" t="s">
        <v>174</v>
      </c>
      <c r="F146" t="s">
        <v>30</v>
      </c>
      <c r="G146" t="s">
        <v>30</v>
      </c>
      <c r="H146" s="3">
        <v>2</v>
      </c>
      <c r="I146">
        <v>2</v>
      </c>
      <c r="J146">
        <v>1</v>
      </c>
      <c r="K146">
        <v>18</v>
      </c>
      <c r="L146" t="s">
        <v>337</v>
      </c>
      <c r="M146" t="s">
        <v>338</v>
      </c>
      <c r="N146">
        <v>89.6</v>
      </c>
      <c r="O146">
        <f>(34.8+34.8)/2</f>
        <v>34.799999999999997</v>
      </c>
      <c r="P146">
        <f>(34.5+34.3)/2</f>
        <v>34.4</v>
      </c>
      <c r="Q146">
        <v>60</v>
      </c>
      <c r="R146">
        <v>60</v>
      </c>
      <c r="S146">
        <v>8</v>
      </c>
      <c r="T146">
        <f>(44.7+44.8)/2</f>
        <v>44.75</v>
      </c>
    </row>
    <row r="147" spans="1:20" x14ac:dyDescent="0.25">
      <c r="A147" t="s">
        <v>376</v>
      </c>
      <c r="B147" t="s">
        <v>130</v>
      </c>
      <c r="C147">
        <v>1</v>
      </c>
      <c r="D147" s="8">
        <v>44534</v>
      </c>
      <c r="E147" t="s">
        <v>174</v>
      </c>
      <c r="F147" t="s">
        <v>30</v>
      </c>
      <c r="G147" t="s">
        <v>30</v>
      </c>
      <c r="H147" s="3">
        <v>2</v>
      </c>
      <c r="I147">
        <v>2</v>
      </c>
      <c r="J147">
        <v>2</v>
      </c>
      <c r="K147">
        <v>18</v>
      </c>
      <c r="L147" t="s">
        <v>337</v>
      </c>
      <c r="M147" t="s">
        <v>338</v>
      </c>
      <c r="N147">
        <v>101.2</v>
      </c>
      <c r="O147">
        <f>(36.4+36.2)/2</f>
        <v>36.299999999999997</v>
      </c>
      <c r="P147">
        <f>(36.6+36.7)/2</f>
        <v>36.650000000000006</v>
      </c>
      <c r="Q147">
        <v>65</v>
      </c>
      <c r="R147">
        <v>71</v>
      </c>
      <c r="S147">
        <v>17</v>
      </c>
      <c r="T147">
        <f>(57.6+57.7)/2</f>
        <v>57.650000000000006</v>
      </c>
    </row>
    <row r="148" spans="1:20" x14ac:dyDescent="0.25">
      <c r="A148" t="s">
        <v>377</v>
      </c>
      <c r="B148" t="s">
        <v>378</v>
      </c>
      <c r="C148">
        <v>1</v>
      </c>
      <c r="D148" s="8">
        <v>44565</v>
      </c>
      <c r="E148" t="s">
        <v>379</v>
      </c>
      <c r="F148" t="s">
        <v>280</v>
      </c>
      <c r="G148" t="s">
        <v>30</v>
      </c>
      <c r="H148" s="3">
        <v>2</v>
      </c>
      <c r="I148">
        <v>2</v>
      </c>
      <c r="J148">
        <v>1</v>
      </c>
      <c r="K148" t="s">
        <v>126</v>
      </c>
      <c r="L148" t="s">
        <v>337</v>
      </c>
      <c r="M148" t="s">
        <v>338</v>
      </c>
      <c r="N148">
        <v>66.7</v>
      </c>
      <c r="O148">
        <f>(35.9+35.7)/2</f>
        <v>35.799999999999997</v>
      </c>
      <c r="P148">
        <f>(35.6+35.7)/2</f>
        <v>35.650000000000006</v>
      </c>
      <c r="Q148">
        <v>66</v>
      </c>
      <c r="R148">
        <v>66</v>
      </c>
      <c r="S148">
        <v>30</v>
      </c>
      <c r="T148">
        <f>(45.2+45.4)/2</f>
        <v>45.3</v>
      </c>
    </row>
    <row r="149" spans="1:20" x14ac:dyDescent="0.25">
      <c r="A149" t="s">
        <v>380</v>
      </c>
      <c r="B149" t="s">
        <v>381</v>
      </c>
      <c r="C149">
        <v>1</v>
      </c>
      <c r="D149" s="8">
        <v>44565</v>
      </c>
      <c r="E149" t="s">
        <v>379</v>
      </c>
      <c r="F149" t="s">
        <v>280</v>
      </c>
      <c r="G149" t="s">
        <v>30</v>
      </c>
      <c r="H149" s="3">
        <v>2</v>
      </c>
      <c r="I149">
        <v>2</v>
      </c>
      <c r="J149">
        <v>1</v>
      </c>
      <c r="K149" t="s">
        <v>126</v>
      </c>
      <c r="L149" t="s">
        <v>337</v>
      </c>
      <c r="M149" t="s">
        <v>338</v>
      </c>
      <c r="N149">
        <v>71.8</v>
      </c>
      <c r="O149">
        <f>(35.7+35.4)/2</f>
        <v>35.549999999999997</v>
      </c>
      <c r="P149">
        <f>(35.3+35.4)/2</f>
        <v>35.349999999999994</v>
      </c>
      <c r="Q149">
        <v>60</v>
      </c>
      <c r="R149">
        <v>61</v>
      </c>
      <c r="S149">
        <v>20</v>
      </c>
      <c r="T149">
        <f>(43.8+43.8)/2</f>
        <v>43.8</v>
      </c>
    </row>
    <row r="150" spans="1:20" x14ac:dyDescent="0.25">
      <c r="A150" t="s">
        <v>382</v>
      </c>
      <c r="B150" t="s">
        <v>145</v>
      </c>
      <c r="C150">
        <v>1</v>
      </c>
      <c r="D150" s="8">
        <v>44565</v>
      </c>
      <c r="E150" t="s">
        <v>223</v>
      </c>
      <c r="F150" t="s">
        <v>30</v>
      </c>
      <c r="G150" t="s">
        <v>259</v>
      </c>
      <c r="H150" s="3">
        <v>2</v>
      </c>
      <c r="I150">
        <v>1</v>
      </c>
      <c r="J150">
        <v>1</v>
      </c>
      <c r="K150">
        <v>16</v>
      </c>
      <c r="L150" t="s">
        <v>337</v>
      </c>
      <c r="M150" t="s">
        <v>338</v>
      </c>
      <c r="N150">
        <v>70.900000000000006</v>
      </c>
      <c r="O150">
        <f>(34.7+34.3)/2</f>
        <v>34.5</v>
      </c>
      <c r="P150">
        <f>(34.3+34.3)/2</f>
        <v>34.299999999999997</v>
      </c>
      <c r="Q150">
        <v>62</v>
      </c>
      <c r="R150">
        <v>63</v>
      </c>
      <c r="S150">
        <v>22</v>
      </c>
      <c r="T150">
        <f>(44.1+44.2)/2</f>
        <v>44.150000000000006</v>
      </c>
    </row>
    <row r="151" spans="1:20" x14ac:dyDescent="0.25">
      <c r="A151" t="s">
        <v>383</v>
      </c>
      <c r="B151" t="s">
        <v>199</v>
      </c>
      <c r="C151">
        <v>1</v>
      </c>
      <c r="D151" s="8">
        <v>44623</v>
      </c>
      <c r="E151" t="s">
        <v>313</v>
      </c>
      <c r="F151" t="s">
        <v>30</v>
      </c>
      <c r="G151" t="s">
        <v>30</v>
      </c>
      <c r="H151" s="3">
        <v>2</v>
      </c>
      <c r="I151">
        <v>2</v>
      </c>
      <c r="J151">
        <v>1</v>
      </c>
      <c r="K151" t="s">
        <v>126</v>
      </c>
      <c r="L151" t="s">
        <v>337</v>
      </c>
      <c r="M151" t="s">
        <v>338</v>
      </c>
      <c r="N151">
        <v>82.5</v>
      </c>
      <c r="O151">
        <f>(27.3+27.5)/2</f>
        <v>27.4</v>
      </c>
      <c r="P151">
        <f>(27.8+27.9)/2</f>
        <v>27.85</v>
      </c>
      <c r="Q151">
        <v>58</v>
      </c>
      <c r="R151">
        <v>57</v>
      </c>
      <c r="S151">
        <v>12</v>
      </c>
      <c r="T151">
        <f>(49+48.8)/2</f>
        <v>48.9</v>
      </c>
    </row>
    <row r="152" spans="1:20" x14ac:dyDescent="0.25">
      <c r="A152" t="s">
        <v>384</v>
      </c>
      <c r="B152" t="s">
        <v>204</v>
      </c>
      <c r="C152">
        <v>1</v>
      </c>
      <c r="D152" s="8">
        <v>44623</v>
      </c>
      <c r="E152" t="s">
        <v>313</v>
      </c>
      <c r="F152" t="s">
        <v>30</v>
      </c>
      <c r="G152" t="s">
        <v>30</v>
      </c>
      <c r="H152" s="3">
        <v>2</v>
      </c>
      <c r="I152">
        <v>2</v>
      </c>
      <c r="J152">
        <v>2</v>
      </c>
      <c r="K152" t="s">
        <v>126</v>
      </c>
      <c r="L152" t="s">
        <v>337</v>
      </c>
      <c r="M152" t="s">
        <v>338</v>
      </c>
      <c r="N152">
        <v>62.8</v>
      </c>
      <c r="O152">
        <f>(24.9+25)/2</f>
        <v>24.95</v>
      </c>
      <c r="P152">
        <f>(24.9+25.1)/2</f>
        <v>25</v>
      </c>
      <c r="Q152">
        <v>40</v>
      </c>
      <c r="R152">
        <v>39</v>
      </c>
      <c r="S152">
        <v>7</v>
      </c>
      <c r="T152">
        <f>(42.4+42.5)/2</f>
        <v>42.45</v>
      </c>
    </row>
    <row r="153" spans="1:20" x14ac:dyDescent="0.25">
      <c r="A153" t="s">
        <v>385</v>
      </c>
      <c r="B153" t="s">
        <v>192</v>
      </c>
      <c r="C153">
        <v>1</v>
      </c>
      <c r="D153" s="8">
        <v>44623</v>
      </c>
      <c r="E153" t="s">
        <v>322</v>
      </c>
      <c r="F153" t="s">
        <v>323</v>
      </c>
      <c r="G153" t="s">
        <v>386</v>
      </c>
      <c r="H153" s="3">
        <v>2</v>
      </c>
      <c r="I153">
        <v>2</v>
      </c>
      <c r="J153">
        <v>1</v>
      </c>
      <c r="K153" t="s">
        <v>126</v>
      </c>
      <c r="L153" t="s">
        <v>337</v>
      </c>
      <c r="M153" t="s">
        <v>338</v>
      </c>
      <c r="N153">
        <v>91.7</v>
      </c>
      <c r="O153">
        <f>(39.1+39)/2</f>
        <v>39.049999999999997</v>
      </c>
      <c r="P153">
        <f>(39.5+39.4)/2</f>
        <v>39.450000000000003</v>
      </c>
      <c r="Q153">
        <v>68</v>
      </c>
      <c r="R153">
        <v>65</v>
      </c>
      <c r="S153">
        <v>18</v>
      </c>
      <c r="T153">
        <f>(50.6+50)/2</f>
        <v>50.3</v>
      </c>
    </row>
    <row r="154" spans="1:20" x14ac:dyDescent="0.25">
      <c r="A154" t="s">
        <v>387</v>
      </c>
      <c r="B154" t="s">
        <v>197</v>
      </c>
      <c r="C154">
        <v>1</v>
      </c>
      <c r="D154" s="8">
        <v>44623</v>
      </c>
      <c r="E154" t="s">
        <v>322</v>
      </c>
      <c r="F154" t="s">
        <v>323</v>
      </c>
      <c r="G154" t="s">
        <v>386</v>
      </c>
      <c r="H154" s="3">
        <v>2</v>
      </c>
      <c r="I154">
        <v>2</v>
      </c>
      <c r="J154">
        <v>2</v>
      </c>
      <c r="K154" t="s">
        <v>126</v>
      </c>
      <c r="L154" t="s">
        <v>337</v>
      </c>
      <c r="M154" t="s">
        <v>338</v>
      </c>
      <c r="N154">
        <v>95.9</v>
      </c>
      <c r="O154">
        <f>(29.4+29.4)/2</f>
        <v>29.4</v>
      </c>
      <c r="P154">
        <f>(30+30)/2</f>
        <v>30</v>
      </c>
      <c r="Q154">
        <v>56</v>
      </c>
      <c r="R154">
        <v>58</v>
      </c>
      <c r="S154">
        <v>12</v>
      </c>
      <c r="T154">
        <f>(51+50.2)/2</f>
        <v>50.6</v>
      </c>
    </row>
    <row r="155" spans="1:20" x14ac:dyDescent="0.25">
      <c r="A155" t="s">
        <v>388</v>
      </c>
      <c r="B155" t="s">
        <v>158</v>
      </c>
      <c r="C155">
        <v>1</v>
      </c>
      <c r="D155" s="8">
        <v>44623</v>
      </c>
      <c r="E155" t="s">
        <v>371</v>
      </c>
      <c r="F155" t="s">
        <v>90</v>
      </c>
      <c r="G155" t="s">
        <v>372</v>
      </c>
      <c r="H155" s="3">
        <v>3</v>
      </c>
      <c r="I155">
        <v>2</v>
      </c>
      <c r="J155">
        <v>1</v>
      </c>
      <c r="K155" t="s">
        <v>126</v>
      </c>
      <c r="L155" t="s">
        <v>337</v>
      </c>
      <c r="M155" t="s">
        <v>338</v>
      </c>
      <c r="N155">
        <v>87</v>
      </c>
      <c r="O155">
        <f>(29.5+29.6)/2</f>
        <v>29.55</v>
      </c>
      <c r="P155">
        <f>(30.1+30.2)/2</f>
        <v>30.15</v>
      </c>
      <c r="Q155">
        <v>72</v>
      </c>
      <c r="R155">
        <v>71</v>
      </c>
      <c r="S155">
        <v>28</v>
      </c>
      <c r="T155">
        <f>(49.3+49.3)/2</f>
        <v>49.3</v>
      </c>
    </row>
    <row r="156" spans="1:20" x14ac:dyDescent="0.25">
      <c r="A156" t="s">
        <v>389</v>
      </c>
      <c r="B156" t="s">
        <v>160</v>
      </c>
      <c r="C156">
        <v>1</v>
      </c>
      <c r="D156" s="8">
        <v>44623</v>
      </c>
      <c r="E156" t="s">
        <v>371</v>
      </c>
      <c r="F156" t="s">
        <v>90</v>
      </c>
      <c r="G156" t="s">
        <v>372</v>
      </c>
      <c r="H156" s="3">
        <v>3</v>
      </c>
      <c r="I156">
        <v>2</v>
      </c>
      <c r="J156">
        <v>2</v>
      </c>
      <c r="K156" t="s">
        <v>126</v>
      </c>
      <c r="L156" t="s">
        <v>337</v>
      </c>
      <c r="M156" t="s">
        <v>338</v>
      </c>
      <c r="N156">
        <v>48.3</v>
      </c>
      <c r="O156">
        <f>(27.5+27.5)/2</f>
        <v>27.5</v>
      </c>
      <c r="P156">
        <f>(28.5+27.7)/2</f>
        <v>28.1</v>
      </c>
      <c r="Q156">
        <v>54</v>
      </c>
      <c r="R156">
        <v>56</v>
      </c>
      <c r="S156">
        <v>15</v>
      </c>
      <c r="T156">
        <f>(43.8+43.9)/2</f>
        <v>43.849999999999994</v>
      </c>
    </row>
    <row r="157" spans="1:20" x14ac:dyDescent="0.25">
      <c r="A157" t="s">
        <v>390</v>
      </c>
      <c r="B157" t="s">
        <v>140</v>
      </c>
      <c r="C157">
        <v>1</v>
      </c>
      <c r="D157" s="8">
        <v>44623</v>
      </c>
      <c r="E157" t="s">
        <v>371</v>
      </c>
      <c r="F157" t="s">
        <v>90</v>
      </c>
      <c r="G157" t="s">
        <v>372</v>
      </c>
      <c r="H157" s="3">
        <v>3</v>
      </c>
      <c r="I157">
        <v>2</v>
      </c>
      <c r="J157">
        <v>3</v>
      </c>
      <c r="K157" t="s">
        <v>126</v>
      </c>
      <c r="L157" t="s">
        <v>337</v>
      </c>
      <c r="M157" t="s">
        <v>338</v>
      </c>
      <c r="N157">
        <v>79</v>
      </c>
      <c r="O157">
        <f>(30.3+30.1)/2</f>
        <v>30.200000000000003</v>
      </c>
      <c r="P157">
        <f>(30.2+30)/2</f>
        <v>30.1</v>
      </c>
      <c r="Q157">
        <v>65</v>
      </c>
      <c r="R157">
        <v>66</v>
      </c>
      <c r="S157">
        <v>12</v>
      </c>
      <c r="T157">
        <f>(51.5+51.5)/2</f>
        <v>51.5</v>
      </c>
    </row>
    <row r="158" spans="1:20" x14ac:dyDescent="0.25">
      <c r="A158" t="s">
        <v>391</v>
      </c>
      <c r="B158" t="s">
        <v>392</v>
      </c>
      <c r="C158">
        <v>1</v>
      </c>
      <c r="D158" s="8">
        <v>44628</v>
      </c>
      <c r="E158" t="s">
        <v>146</v>
      </c>
      <c r="F158" t="s">
        <v>393</v>
      </c>
      <c r="G158" t="s">
        <v>354</v>
      </c>
      <c r="H158" s="3">
        <v>2</v>
      </c>
      <c r="I158">
        <v>2</v>
      </c>
      <c r="J158">
        <v>1</v>
      </c>
      <c r="K158">
        <v>17</v>
      </c>
      <c r="L158" t="s">
        <v>337</v>
      </c>
      <c r="M158" t="s">
        <v>338</v>
      </c>
      <c r="N158">
        <v>95.5</v>
      </c>
      <c r="O158">
        <f>(37.4+36.9)/2</f>
        <v>37.15</v>
      </c>
      <c r="P158">
        <f>(37.6+37.5)/2</f>
        <v>37.549999999999997</v>
      </c>
      <c r="Q158">
        <v>73</v>
      </c>
      <c r="R158">
        <v>74</v>
      </c>
      <c r="S158">
        <v>28</v>
      </c>
      <c r="T158">
        <f>(47.7+47.4)/2</f>
        <v>47.55</v>
      </c>
    </row>
    <row r="159" spans="1:20" x14ac:dyDescent="0.25">
      <c r="A159" t="s">
        <v>394</v>
      </c>
      <c r="B159" t="s">
        <v>395</v>
      </c>
      <c r="C159">
        <v>1</v>
      </c>
      <c r="D159" s="8">
        <v>44628</v>
      </c>
      <c r="E159" t="s">
        <v>146</v>
      </c>
      <c r="F159" t="s">
        <v>393</v>
      </c>
      <c r="G159" t="s">
        <v>354</v>
      </c>
      <c r="H159" s="3">
        <v>2</v>
      </c>
      <c r="I159">
        <v>2</v>
      </c>
      <c r="J159">
        <v>2</v>
      </c>
      <c r="K159">
        <v>16</v>
      </c>
      <c r="L159" t="s">
        <v>337</v>
      </c>
      <c r="M159" t="s">
        <v>338</v>
      </c>
      <c r="N159">
        <v>61.6</v>
      </c>
      <c r="O159">
        <f>(33.8+34)/2</f>
        <v>33.9</v>
      </c>
      <c r="P159">
        <f>(34.2+34)/2</f>
        <v>34.1</v>
      </c>
      <c r="Q159">
        <v>70</v>
      </c>
      <c r="R159">
        <v>70</v>
      </c>
      <c r="S159">
        <v>25</v>
      </c>
      <c r="T159">
        <f>(45.3+45.1)/2</f>
        <v>45.2</v>
      </c>
    </row>
    <row r="160" spans="1:20" x14ac:dyDescent="0.25">
      <c r="A160" t="s">
        <v>396</v>
      </c>
      <c r="B160" t="s">
        <v>178</v>
      </c>
      <c r="C160">
        <v>1</v>
      </c>
      <c r="D160" s="8">
        <v>44628</v>
      </c>
      <c r="E160" t="s">
        <v>124</v>
      </c>
      <c r="F160" t="s">
        <v>30</v>
      </c>
      <c r="G160" t="s">
        <v>125</v>
      </c>
      <c r="H160" s="3">
        <v>1</v>
      </c>
      <c r="I160">
        <v>2</v>
      </c>
      <c r="J160">
        <v>1</v>
      </c>
      <c r="K160">
        <v>17</v>
      </c>
      <c r="L160" t="s">
        <v>337</v>
      </c>
      <c r="M160" t="s">
        <v>338</v>
      </c>
      <c r="N160">
        <v>87.3</v>
      </c>
      <c r="O160">
        <f>(36.9+36.4)/2</f>
        <v>36.65</v>
      </c>
      <c r="P160">
        <f>(36.7+36.7)/2</f>
        <v>36.700000000000003</v>
      </c>
      <c r="Q160">
        <v>79</v>
      </c>
      <c r="R160">
        <v>80</v>
      </c>
      <c r="S160">
        <v>30</v>
      </c>
      <c r="T160">
        <f>(48.2+48)/2</f>
        <v>48.1</v>
      </c>
    </row>
    <row r="161" spans="1:20" x14ac:dyDescent="0.25">
      <c r="A161" t="s">
        <v>397</v>
      </c>
      <c r="B161" t="s">
        <v>206</v>
      </c>
      <c r="C161">
        <v>1</v>
      </c>
      <c r="D161" s="8">
        <v>44628</v>
      </c>
      <c r="E161" t="s">
        <v>223</v>
      </c>
      <c r="F161" t="s">
        <v>30</v>
      </c>
      <c r="G161" t="s">
        <v>259</v>
      </c>
      <c r="H161" s="3">
        <v>2</v>
      </c>
      <c r="I161">
        <v>2</v>
      </c>
      <c r="J161">
        <v>1</v>
      </c>
      <c r="K161">
        <v>16</v>
      </c>
      <c r="L161" t="s">
        <v>337</v>
      </c>
      <c r="M161" t="s">
        <v>338</v>
      </c>
      <c r="N161">
        <v>68.099999999999994</v>
      </c>
      <c r="O161">
        <f>(32.9+32.8)/2</f>
        <v>32.849999999999994</v>
      </c>
      <c r="P161">
        <f>(33+32.8)/2</f>
        <v>32.9</v>
      </c>
      <c r="Q161">
        <v>67</v>
      </c>
      <c r="R161">
        <v>69</v>
      </c>
      <c r="S161">
        <v>23</v>
      </c>
      <c r="T161">
        <f>(43.7+43.3)/2</f>
        <v>43.5</v>
      </c>
    </row>
    <row r="162" spans="1:20" x14ac:dyDescent="0.25">
      <c r="A162" t="s">
        <v>398</v>
      </c>
      <c r="B162" t="s">
        <v>171</v>
      </c>
      <c r="C162">
        <v>1</v>
      </c>
      <c r="D162" s="8">
        <v>44628</v>
      </c>
      <c r="E162" t="s">
        <v>223</v>
      </c>
      <c r="F162" t="s">
        <v>30</v>
      </c>
      <c r="G162" t="s">
        <v>259</v>
      </c>
      <c r="H162" s="3">
        <v>2</v>
      </c>
      <c r="I162">
        <v>2</v>
      </c>
      <c r="J162">
        <v>2</v>
      </c>
      <c r="K162">
        <v>16</v>
      </c>
      <c r="L162" t="s">
        <v>337</v>
      </c>
      <c r="M162" t="s">
        <v>338</v>
      </c>
      <c r="N162">
        <v>57.1</v>
      </c>
      <c r="O162">
        <f>(34.3+34.3)/2</f>
        <v>34.299999999999997</v>
      </c>
      <c r="P162">
        <f>(34+34.4)/2</f>
        <v>34.200000000000003</v>
      </c>
      <c r="Q162">
        <v>71</v>
      </c>
      <c r="R162">
        <v>69</v>
      </c>
      <c r="S162">
        <v>23</v>
      </c>
      <c r="T162">
        <f>(43.9+44.1)/2</f>
        <v>44</v>
      </c>
    </row>
    <row r="163" spans="1:20" x14ac:dyDescent="0.25">
      <c r="A163" t="s">
        <v>399</v>
      </c>
      <c r="B163" t="s">
        <v>400</v>
      </c>
      <c r="C163">
        <v>1</v>
      </c>
      <c r="D163" s="8">
        <v>44635</v>
      </c>
      <c r="E163" t="s">
        <v>141</v>
      </c>
      <c r="F163" t="s">
        <v>30</v>
      </c>
      <c r="G163" t="s">
        <v>30</v>
      </c>
      <c r="H163" s="3">
        <v>2</v>
      </c>
      <c r="I163" t="s">
        <v>126</v>
      </c>
      <c r="J163">
        <v>1</v>
      </c>
      <c r="K163">
        <v>16</v>
      </c>
      <c r="L163" t="s">
        <v>337</v>
      </c>
      <c r="M163" t="s">
        <v>338</v>
      </c>
      <c r="N163">
        <v>61.6</v>
      </c>
      <c r="O163">
        <f>(32.6+32.5)/2</f>
        <v>32.549999999999997</v>
      </c>
      <c r="P163">
        <f>(33.3+33.1)/2</f>
        <v>33.200000000000003</v>
      </c>
      <c r="Q163">
        <v>54</v>
      </c>
      <c r="R163">
        <v>57</v>
      </c>
      <c r="S163">
        <v>20</v>
      </c>
      <c r="T163">
        <f>(44+44.1)/2</f>
        <v>44.05</v>
      </c>
    </row>
    <row r="164" spans="1:20" x14ac:dyDescent="0.25">
      <c r="A164" t="s">
        <v>401</v>
      </c>
      <c r="B164" t="s">
        <v>216</v>
      </c>
      <c r="C164">
        <v>1</v>
      </c>
      <c r="D164" s="8">
        <v>44635</v>
      </c>
      <c r="E164" t="s">
        <v>141</v>
      </c>
      <c r="F164" t="s">
        <v>30</v>
      </c>
      <c r="G164" t="s">
        <v>30</v>
      </c>
      <c r="H164" s="3">
        <v>2</v>
      </c>
      <c r="I164" t="s">
        <v>126</v>
      </c>
      <c r="J164">
        <v>2</v>
      </c>
      <c r="K164">
        <v>16</v>
      </c>
      <c r="L164" t="s">
        <v>337</v>
      </c>
      <c r="M164" t="s">
        <v>338</v>
      </c>
      <c r="N164">
        <v>57.7</v>
      </c>
      <c r="O164">
        <f>(32.3+32.2)/2</f>
        <v>32.25</v>
      </c>
      <c r="P164">
        <f>(31.8+32.2)/2</f>
        <v>32</v>
      </c>
      <c r="Q164">
        <v>54</v>
      </c>
      <c r="R164">
        <v>52</v>
      </c>
      <c r="S164">
        <v>18</v>
      </c>
      <c r="T164">
        <f>(43.8+43.8)/2</f>
        <v>43.8</v>
      </c>
    </row>
    <row r="165" spans="1:20" x14ac:dyDescent="0.25">
      <c r="A165" t="s">
        <v>402</v>
      </c>
      <c r="B165" t="s">
        <v>185</v>
      </c>
      <c r="C165">
        <v>1</v>
      </c>
      <c r="D165" s="8">
        <v>44635</v>
      </c>
      <c r="E165" t="s">
        <v>403</v>
      </c>
      <c r="F165" t="s">
        <v>280</v>
      </c>
      <c r="G165" t="s">
        <v>30</v>
      </c>
      <c r="H165" s="3">
        <v>1</v>
      </c>
      <c r="I165">
        <v>3</v>
      </c>
      <c r="J165">
        <v>1</v>
      </c>
      <c r="K165">
        <v>18</v>
      </c>
      <c r="L165" t="s">
        <v>337</v>
      </c>
      <c r="M165" t="s">
        <v>338</v>
      </c>
      <c r="N165">
        <v>81.5</v>
      </c>
      <c r="O165">
        <f>(36.2+36.2)/2</f>
        <v>36.200000000000003</v>
      </c>
      <c r="P165">
        <f>(35.9+35.8)/2</f>
        <v>35.849999999999994</v>
      </c>
      <c r="Q165">
        <v>80</v>
      </c>
      <c r="R165">
        <v>80</v>
      </c>
      <c r="S165">
        <v>39</v>
      </c>
      <c r="T165">
        <f>(46.7+46.9)/2</f>
        <v>46.8</v>
      </c>
    </row>
  </sheetData>
  <phoneticPr fontId="2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Chick ringing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Jessleena</dc:creator>
  <cp:keywords/>
  <dc:description/>
  <cp:lastModifiedBy>User</cp:lastModifiedBy>
  <cp:revision/>
  <dcterms:created xsi:type="dcterms:W3CDTF">2017-11-22T09:48:21Z</dcterms:created>
  <dcterms:modified xsi:type="dcterms:W3CDTF">2022-04-14T18:53:55Z</dcterms:modified>
  <cp:category/>
  <cp:contentStatus/>
</cp:coreProperties>
</file>