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jclarkeltd-my.sharepoint.com/personal/drew_mjclarkeltd_com/Documents/Documents/"/>
    </mc:Choice>
  </mc:AlternateContent>
  <xr:revisionPtr revIDLastSave="238" documentId="8_{9D803A03-2C28-404A-8DF2-8842B735A622}" xr6:coauthVersionLast="47" xr6:coauthVersionMax="47" xr10:uidLastSave="{6EFFDC44-0743-4B62-9BB3-B1F1B9D0D951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MailOriginal" localSheetId="0">Sheet1!$Y$37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C39" i="1"/>
  <c r="B39" i="1"/>
  <c r="E38" i="1"/>
  <c r="C38" i="1"/>
  <c r="B38" i="1"/>
  <c r="H38" i="1" s="1"/>
  <c r="E37" i="1"/>
  <c r="C37" i="1"/>
  <c r="B37" i="1"/>
  <c r="H37" i="1" s="1"/>
  <c r="E36" i="1"/>
  <c r="C36" i="1"/>
  <c r="B36" i="1"/>
  <c r="E35" i="1"/>
  <c r="C35" i="1"/>
  <c r="B35" i="1"/>
  <c r="E34" i="1"/>
  <c r="C34" i="1"/>
  <c r="B34" i="1"/>
  <c r="H34" i="1" s="1"/>
  <c r="B33" i="1"/>
  <c r="H33" i="1" s="1"/>
  <c r="E33" i="1"/>
  <c r="C33" i="1"/>
  <c r="E32" i="1"/>
  <c r="C32" i="1"/>
  <c r="B32" i="1"/>
  <c r="H32" i="1" s="1"/>
  <c r="E31" i="1"/>
  <c r="C31" i="1"/>
  <c r="B31" i="1"/>
  <c r="H31" i="1" s="1"/>
  <c r="E30" i="1"/>
  <c r="C30" i="1"/>
  <c r="B30" i="1"/>
  <c r="H30" i="1" s="1"/>
  <c r="E29" i="1"/>
  <c r="C29" i="1"/>
  <c r="B29" i="1"/>
  <c r="E28" i="1"/>
  <c r="C28" i="1"/>
  <c r="B28" i="1"/>
  <c r="H28" i="1" s="1"/>
  <c r="E27" i="1"/>
  <c r="C27" i="1"/>
  <c r="B27" i="1"/>
  <c r="H27" i="1" s="1"/>
  <c r="E26" i="1"/>
  <c r="C26" i="1"/>
  <c r="B26" i="1"/>
  <c r="E25" i="1"/>
  <c r="C25" i="1"/>
  <c r="B25" i="1"/>
  <c r="H25" i="1" s="1"/>
  <c r="E24" i="1"/>
  <c r="C24" i="1"/>
  <c r="B24" i="1"/>
  <c r="F39" i="1" l="1"/>
  <c r="H39" i="1"/>
  <c r="D39" i="1"/>
  <c r="D38" i="1"/>
  <c r="F38" i="1"/>
  <c r="D37" i="1"/>
  <c r="F37" i="1"/>
  <c r="D36" i="1"/>
  <c r="D35" i="1"/>
  <c r="F36" i="1"/>
  <c r="H36" i="1"/>
  <c r="F35" i="1"/>
  <c r="H35" i="1"/>
  <c r="D34" i="1"/>
  <c r="F34" i="1"/>
  <c r="F32" i="1"/>
  <c r="F33" i="1"/>
  <c r="D33" i="1"/>
  <c r="D32" i="1"/>
  <c r="F31" i="1"/>
  <c r="D31" i="1"/>
  <c r="D30" i="1"/>
  <c r="F30" i="1"/>
  <c r="D29" i="1"/>
  <c r="F29" i="1"/>
  <c r="H29" i="1"/>
  <c r="D28" i="1"/>
  <c r="F28" i="1"/>
  <c r="D27" i="1"/>
  <c r="F27" i="1"/>
  <c r="D26" i="1"/>
  <c r="H26" i="1"/>
  <c r="F26" i="1"/>
  <c r="D25" i="1"/>
  <c r="F25" i="1"/>
  <c r="D24" i="1"/>
  <c r="E23" i="1"/>
  <c r="C23" i="1"/>
  <c r="B23" i="1"/>
  <c r="H23" i="1" s="1"/>
  <c r="E22" i="1"/>
  <c r="C22" i="1"/>
  <c r="B22" i="1"/>
  <c r="H22" i="1" s="1"/>
  <c r="E21" i="1"/>
  <c r="C21" i="1"/>
  <c r="B21" i="1"/>
  <c r="H21" i="1" s="1"/>
  <c r="E20" i="1"/>
  <c r="C20" i="1"/>
  <c r="B20" i="1"/>
  <c r="H20" i="1" s="1"/>
  <c r="E19" i="1"/>
  <c r="C19" i="1"/>
  <c r="B19" i="1"/>
  <c r="H19" i="1" s="1"/>
  <c r="E18" i="1"/>
  <c r="C18" i="1"/>
  <c r="B18" i="1"/>
  <c r="H18" i="1" s="1"/>
  <c r="E17" i="1"/>
  <c r="C17" i="1"/>
  <c r="B17" i="1"/>
  <c r="H17" i="1" s="1"/>
  <c r="E16" i="1"/>
  <c r="C16" i="1"/>
  <c r="B16" i="1"/>
  <c r="H16" i="1" s="1"/>
  <c r="E15" i="1"/>
  <c r="C15" i="1"/>
  <c r="B15" i="1"/>
  <c r="H15" i="1" s="1"/>
  <c r="E14" i="1"/>
  <c r="C14" i="1"/>
  <c r="B14" i="1"/>
  <c r="H14" i="1" s="1"/>
  <c r="B13" i="1"/>
  <c r="H13" i="1" s="1"/>
  <c r="E13" i="1"/>
  <c r="C13" i="1"/>
  <c r="E12" i="1"/>
  <c r="C12" i="1"/>
  <c r="B12" i="1"/>
  <c r="H12" i="1" s="1"/>
  <c r="E11" i="1"/>
  <c r="C11" i="1"/>
  <c r="B11" i="1"/>
  <c r="H11" i="1" s="1"/>
  <c r="E10" i="1"/>
  <c r="C10" i="1"/>
  <c r="B10" i="1"/>
  <c r="H10" i="1" s="1"/>
  <c r="E9" i="1"/>
  <c r="C9" i="1"/>
  <c r="B9" i="1"/>
  <c r="H9" i="1" s="1"/>
  <c r="E8" i="1"/>
  <c r="C8" i="1"/>
  <c r="B8" i="1"/>
  <c r="H8" i="1" s="1"/>
  <c r="E7" i="1"/>
  <c r="C7" i="1"/>
  <c r="B7" i="1"/>
  <c r="H24" i="1" l="1"/>
  <c r="F24" i="1"/>
  <c r="D23" i="1"/>
  <c r="F23" i="1"/>
  <c r="F22" i="1"/>
  <c r="D22" i="1"/>
  <c r="D21" i="1"/>
  <c r="F21" i="1"/>
  <c r="D20" i="1"/>
  <c r="F20" i="1"/>
  <c r="D19" i="1"/>
  <c r="F19" i="1"/>
  <c r="D18" i="1"/>
  <c r="F18" i="1"/>
  <c r="D17" i="1"/>
  <c r="F17" i="1"/>
  <c r="D16" i="1"/>
  <c r="F16" i="1"/>
  <c r="F15" i="1"/>
  <c r="D15" i="1"/>
  <c r="D14" i="1"/>
  <c r="F14" i="1"/>
  <c r="F13" i="1"/>
  <c r="D13" i="1"/>
  <c r="D12" i="1"/>
  <c r="F12" i="1"/>
  <c r="D11" i="1"/>
  <c r="F11" i="1"/>
  <c r="F10" i="1"/>
  <c r="D10" i="1"/>
  <c r="F9" i="1"/>
  <c r="D9" i="1"/>
  <c r="D8" i="1"/>
  <c r="F8" i="1"/>
  <c r="H7" i="1"/>
  <c r="E6" i="1"/>
  <c r="C6" i="1"/>
  <c r="B6" i="1"/>
  <c r="H6" i="1" s="1"/>
  <c r="E5" i="1"/>
  <c r="C5" i="1"/>
  <c r="B5" i="1"/>
  <c r="E4" i="1"/>
  <c r="C4" i="1"/>
  <c r="B4" i="1"/>
  <c r="H4" i="1" s="1"/>
  <c r="E3" i="1"/>
  <c r="C3" i="1"/>
  <c r="B3" i="1"/>
  <c r="H3" i="1" s="1"/>
  <c r="E2" i="1"/>
  <c r="C2" i="1"/>
  <c r="B2" i="1"/>
  <c r="M52" i="1"/>
  <c r="K52" i="1"/>
  <c r="J52" i="1"/>
  <c r="P52" i="1" s="1"/>
  <c r="M51" i="1"/>
  <c r="K51" i="1"/>
  <c r="J51" i="1"/>
  <c r="P51" i="1" s="1"/>
  <c r="M50" i="1"/>
  <c r="K50" i="1"/>
  <c r="J50" i="1"/>
  <c r="P50" i="1" s="1"/>
  <c r="M49" i="1"/>
  <c r="K49" i="1"/>
  <c r="J49" i="1"/>
  <c r="P49" i="1" s="1"/>
  <c r="M48" i="1"/>
  <c r="K48" i="1"/>
  <c r="J48" i="1"/>
  <c r="P48" i="1" s="1"/>
  <c r="M47" i="1"/>
  <c r="K47" i="1"/>
  <c r="J47" i="1"/>
  <c r="P47" i="1" s="1"/>
  <c r="M46" i="1"/>
  <c r="K46" i="1"/>
  <c r="J46" i="1"/>
  <c r="P46" i="1" s="1"/>
  <c r="M45" i="1"/>
  <c r="K45" i="1"/>
  <c r="J45" i="1"/>
  <c r="P45" i="1" s="1"/>
  <c r="M44" i="1"/>
  <c r="K44" i="1"/>
  <c r="J44" i="1"/>
  <c r="P44" i="1" s="1"/>
  <c r="M43" i="1"/>
  <c r="K43" i="1"/>
  <c r="J43" i="1"/>
  <c r="P43" i="1" s="1"/>
  <c r="M42" i="1"/>
  <c r="K42" i="1"/>
  <c r="J42" i="1"/>
  <c r="P42" i="1" s="1"/>
  <c r="M41" i="1"/>
  <c r="K41" i="1"/>
  <c r="J41" i="1"/>
  <c r="P41" i="1" s="1"/>
  <c r="M40" i="1"/>
  <c r="K40" i="1"/>
  <c r="J40" i="1"/>
  <c r="P40" i="1" s="1"/>
  <c r="M39" i="1"/>
  <c r="K39" i="1"/>
  <c r="J39" i="1"/>
  <c r="P39" i="1" s="1"/>
  <c r="M38" i="1"/>
  <c r="K38" i="1"/>
  <c r="J38" i="1"/>
  <c r="P38" i="1" s="1"/>
  <c r="M37" i="1"/>
  <c r="K37" i="1"/>
  <c r="J37" i="1"/>
  <c r="P37" i="1" s="1"/>
  <c r="M36" i="1"/>
  <c r="K36" i="1"/>
  <c r="J36" i="1"/>
  <c r="M35" i="1"/>
  <c r="K35" i="1"/>
  <c r="J35" i="1"/>
  <c r="P35" i="1" s="1"/>
  <c r="M34" i="1"/>
  <c r="K34" i="1"/>
  <c r="J34" i="1"/>
  <c r="M33" i="1"/>
  <c r="K33" i="1"/>
  <c r="J33" i="1"/>
  <c r="P33" i="1" s="1"/>
  <c r="M32" i="1"/>
  <c r="K32" i="1"/>
  <c r="J32" i="1"/>
  <c r="P32" i="1" s="1"/>
  <c r="M31" i="1"/>
  <c r="K31" i="1"/>
  <c r="J31" i="1"/>
  <c r="P31" i="1" s="1"/>
  <c r="M30" i="1"/>
  <c r="K30" i="1"/>
  <c r="J30" i="1"/>
  <c r="P30" i="1" s="1"/>
  <c r="M29" i="1"/>
  <c r="K29" i="1"/>
  <c r="J29" i="1"/>
  <c r="P29" i="1" s="1"/>
  <c r="M28" i="1"/>
  <c r="K28" i="1"/>
  <c r="J28" i="1"/>
  <c r="M27" i="1"/>
  <c r="K27" i="1"/>
  <c r="J27" i="1"/>
  <c r="D7" i="1" l="1"/>
  <c r="F7" i="1"/>
  <c r="D6" i="1"/>
  <c r="F6" i="1"/>
  <c r="F5" i="1"/>
  <c r="H5" i="1"/>
  <c r="D5" i="1"/>
  <c r="D4" i="1"/>
  <c r="F4" i="1"/>
  <c r="D3" i="1"/>
  <c r="F3" i="1"/>
  <c r="F2" i="1"/>
  <c r="N51" i="1"/>
  <c r="H2" i="1"/>
  <c r="D2" i="1"/>
  <c r="N52" i="1"/>
  <c r="L52" i="1"/>
  <c r="L51" i="1"/>
  <c r="L50" i="1"/>
  <c r="N50" i="1"/>
  <c r="N49" i="1"/>
  <c r="L49" i="1"/>
  <c r="N48" i="1"/>
  <c r="L48" i="1"/>
  <c r="L47" i="1"/>
  <c r="N47" i="1"/>
  <c r="L46" i="1"/>
  <c r="N46" i="1"/>
  <c r="L45" i="1"/>
  <c r="N45" i="1"/>
  <c r="L44" i="1"/>
  <c r="N44" i="1"/>
  <c r="N43" i="1"/>
  <c r="L43" i="1"/>
  <c r="L41" i="1"/>
  <c r="L42" i="1"/>
  <c r="N42" i="1"/>
  <c r="N41" i="1"/>
  <c r="L40" i="1"/>
  <c r="N40" i="1"/>
  <c r="L39" i="1"/>
  <c r="N39" i="1"/>
  <c r="N38" i="1"/>
  <c r="L38" i="1"/>
  <c r="L37" i="1"/>
  <c r="N37" i="1"/>
  <c r="N36" i="1"/>
  <c r="L36" i="1"/>
  <c r="P36" i="1"/>
  <c r="L35" i="1"/>
  <c r="N35" i="1"/>
  <c r="L34" i="1"/>
  <c r="P34" i="1"/>
  <c r="N34" i="1"/>
  <c r="L33" i="1"/>
  <c r="N33" i="1"/>
  <c r="L32" i="1"/>
  <c r="N32" i="1"/>
  <c r="N31" i="1"/>
  <c r="N30" i="1"/>
  <c r="L31" i="1"/>
  <c r="L30" i="1"/>
  <c r="N28" i="1"/>
  <c r="L29" i="1"/>
  <c r="N29" i="1"/>
  <c r="P28" i="1"/>
  <c r="L28" i="1"/>
  <c r="P27" i="1"/>
  <c r="K26" i="1"/>
  <c r="J26" i="1"/>
  <c r="P26" i="1" s="1"/>
  <c r="M26" i="1"/>
  <c r="M25" i="1"/>
  <c r="K25" i="1"/>
  <c r="J25" i="1"/>
  <c r="P25" i="1" s="1"/>
  <c r="M24" i="1"/>
  <c r="K24" i="1"/>
  <c r="J24" i="1"/>
  <c r="M23" i="1"/>
  <c r="K23" i="1"/>
  <c r="J23" i="1"/>
  <c r="P23" i="1" s="1"/>
  <c r="M22" i="1"/>
  <c r="K22" i="1"/>
  <c r="J22" i="1"/>
  <c r="P22" i="1" s="1"/>
  <c r="M21" i="1"/>
  <c r="K21" i="1"/>
  <c r="J21" i="1"/>
  <c r="P21" i="1" s="1"/>
  <c r="M20" i="1"/>
  <c r="K20" i="1"/>
  <c r="J20" i="1"/>
  <c r="P20" i="1" s="1"/>
  <c r="M19" i="1"/>
  <c r="K19" i="1"/>
  <c r="J19" i="1"/>
  <c r="P19" i="1" s="1"/>
  <c r="M18" i="1"/>
  <c r="K18" i="1"/>
  <c r="J18" i="1"/>
  <c r="M17" i="1"/>
  <c r="K17" i="1"/>
  <c r="J17" i="1"/>
  <c r="P17" i="1" s="1"/>
  <c r="M16" i="1"/>
  <c r="K16" i="1"/>
  <c r="J16" i="1"/>
  <c r="M15" i="1"/>
  <c r="K15" i="1"/>
  <c r="J15" i="1"/>
  <c r="P15" i="1" s="1"/>
  <c r="M14" i="1"/>
  <c r="K14" i="1"/>
  <c r="J14" i="1"/>
  <c r="P14" i="1" s="1"/>
  <c r="M13" i="1"/>
  <c r="K13" i="1"/>
  <c r="J13" i="1"/>
  <c r="P13" i="1" s="1"/>
  <c r="M12" i="1"/>
  <c r="K12" i="1"/>
  <c r="J12" i="1"/>
  <c r="P12" i="1" s="1"/>
  <c r="M11" i="1"/>
  <c r="K11" i="1"/>
  <c r="J11" i="1"/>
  <c r="P11" i="1" s="1"/>
  <c r="M10" i="1"/>
  <c r="K10" i="1"/>
  <c r="J10" i="1"/>
  <c r="P10" i="1" s="1"/>
  <c r="M9" i="1"/>
  <c r="K9" i="1"/>
  <c r="J9" i="1"/>
  <c r="P9" i="1" s="1"/>
  <c r="M8" i="1"/>
  <c r="K8" i="1"/>
  <c r="J8" i="1"/>
  <c r="P8" i="1" s="1"/>
  <c r="M7" i="1"/>
  <c r="K7" i="1"/>
  <c r="J7" i="1"/>
  <c r="P7" i="1" s="1"/>
  <c r="M6" i="1"/>
  <c r="K6" i="1"/>
  <c r="J6" i="1"/>
  <c r="P6" i="1" s="1"/>
  <c r="M5" i="1"/>
  <c r="K4" i="1"/>
  <c r="K5" i="1"/>
  <c r="J5" i="1"/>
  <c r="P5" i="1" s="1"/>
  <c r="M4" i="1"/>
  <c r="J4" i="1"/>
  <c r="P4" i="1" s="1"/>
  <c r="M3" i="1"/>
  <c r="K3" i="1"/>
  <c r="J3" i="1"/>
  <c r="P3" i="1" s="1"/>
  <c r="M2" i="1"/>
  <c r="K2" i="1"/>
  <c r="J2" i="1"/>
  <c r="P2" i="1" s="1"/>
  <c r="U52" i="1"/>
  <c r="S52" i="1"/>
  <c r="R52" i="1"/>
  <c r="X52" i="1" s="1"/>
  <c r="U51" i="1"/>
  <c r="S51" i="1"/>
  <c r="R51" i="1"/>
  <c r="X51" i="1" s="1"/>
  <c r="U50" i="1"/>
  <c r="S50" i="1"/>
  <c r="R50" i="1"/>
  <c r="X50" i="1" s="1"/>
  <c r="U49" i="1"/>
  <c r="S49" i="1"/>
  <c r="R49" i="1"/>
  <c r="X49" i="1" s="1"/>
  <c r="U48" i="1"/>
  <c r="S48" i="1"/>
  <c r="R48" i="1"/>
  <c r="X48" i="1" s="1"/>
  <c r="U47" i="1"/>
  <c r="S47" i="1"/>
  <c r="R47" i="1"/>
  <c r="X47" i="1" s="1"/>
  <c r="U46" i="1"/>
  <c r="S46" i="1"/>
  <c r="R46" i="1"/>
  <c r="X46" i="1" s="1"/>
  <c r="U45" i="1"/>
  <c r="S45" i="1"/>
  <c r="R45" i="1"/>
  <c r="X45" i="1" s="1"/>
  <c r="U44" i="1"/>
  <c r="S44" i="1"/>
  <c r="R44" i="1"/>
  <c r="X44" i="1" s="1"/>
  <c r="U43" i="1"/>
  <c r="S43" i="1"/>
  <c r="R43" i="1"/>
  <c r="X43" i="1" s="1"/>
  <c r="U42" i="1"/>
  <c r="S42" i="1"/>
  <c r="R42" i="1"/>
  <c r="X42" i="1" s="1"/>
  <c r="U41" i="1"/>
  <c r="S41" i="1"/>
  <c r="R41" i="1"/>
  <c r="X41" i="1" s="1"/>
  <c r="U40" i="1"/>
  <c r="S40" i="1"/>
  <c r="R40" i="1"/>
  <c r="X40" i="1" s="1"/>
  <c r="U39" i="1"/>
  <c r="S39" i="1"/>
  <c r="R39" i="1"/>
  <c r="X39" i="1" s="1"/>
  <c r="U38" i="1"/>
  <c r="S38" i="1"/>
  <c r="R38" i="1"/>
  <c r="X38" i="1" s="1"/>
  <c r="U37" i="1"/>
  <c r="S37" i="1"/>
  <c r="R37" i="1"/>
  <c r="U36" i="1"/>
  <c r="S36" i="1"/>
  <c r="R36" i="1"/>
  <c r="X36" i="1" s="1"/>
  <c r="U34" i="1"/>
  <c r="S34" i="1"/>
  <c r="R34" i="1"/>
  <c r="X34" i="1" s="1"/>
  <c r="U33" i="1"/>
  <c r="S33" i="1"/>
  <c r="R33" i="1"/>
  <c r="X33" i="1" s="1"/>
  <c r="U32" i="1"/>
  <c r="S32" i="1"/>
  <c r="R32" i="1"/>
  <c r="X32" i="1" s="1"/>
  <c r="U31" i="1"/>
  <c r="S31" i="1"/>
  <c r="R31" i="1"/>
  <c r="U30" i="1"/>
  <c r="S30" i="1"/>
  <c r="R30" i="1"/>
  <c r="U29" i="1"/>
  <c r="S29" i="1"/>
  <c r="R29" i="1"/>
  <c r="X29" i="1" s="1"/>
  <c r="U28" i="1"/>
  <c r="S28" i="1"/>
  <c r="R28" i="1"/>
  <c r="X28" i="1" s="1"/>
  <c r="U27" i="1"/>
  <c r="S27" i="1"/>
  <c r="R27" i="1"/>
  <c r="X27" i="1" s="1"/>
  <c r="U26" i="1"/>
  <c r="S26" i="1"/>
  <c r="R26" i="1"/>
  <c r="X26" i="1" s="1"/>
  <c r="U25" i="1"/>
  <c r="S25" i="1"/>
  <c r="R25" i="1"/>
  <c r="X25" i="1" s="1"/>
  <c r="U24" i="1"/>
  <c r="S24" i="1"/>
  <c r="R24" i="1"/>
  <c r="X24" i="1" s="1"/>
  <c r="U23" i="1"/>
  <c r="S23" i="1"/>
  <c r="R23" i="1"/>
  <c r="X23" i="1" s="1"/>
  <c r="U22" i="1"/>
  <c r="S22" i="1"/>
  <c r="R22" i="1"/>
  <c r="X22" i="1" s="1"/>
  <c r="U21" i="1"/>
  <c r="S21" i="1"/>
  <c r="R21" i="1"/>
  <c r="X21" i="1" s="1"/>
  <c r="U20" i="1"/>
  <c r="S20" i="1"/>
  <c r="R20" i="1"/>
  <c r="X20" i="1" s="1"/>
  <c r="S19" i="1"/>
  <c r="U19" i="1"/>
  <c r="R19" i="1"/>
  <c r="X19" i="1" s="1"/>
  <c r="L27" i="1" l="1"/>
  <c r="N27" i="1"/>
  <c r="L26" i="1"/>
  <c r="N26" i="1"/>
  <c r="L25" i="1"/>
  <c r="N25" i="1"/>
  <c r="N24" i="1"/>
  <c r="P24" i="1"/>
  <c r="L24" i="1"/>
  <c r="N23" i="1"/>
  <c r="L23" i="1"/>
  <c r="L22" i="1"/>
  <c r="N22" i="1"/>
  <c r="L21" i="1"/>
  <c r="N21" i="1"/>
  <c r="L20" i="1"/>
  <c r="N20" i="1"/>
  <c r="N19" i="1"/>
  <c r="L19" i="1"/>
  <c r="L18" i="1"/>
  <c r="N18" i="1"/>
  <c r="P18" i="1"/>
  <c r="L17" i="1"/>
  <c r="N17" i="1"/>
  <c r="L16" i="1"/>
  <c r="N16" i="1"/>
  <c r="P16" i="1"/>
  <c r="N15" i="1"/>
  <c r="L15" i="1"/>
  <c r="L14" i="1"/>
  <c r="N14" i="1"/>
  <c r="N13" i="1"/>
  <c r="L13" i="1"/>
  <c r="L12" i="1"/>
  <c r="N12" i="1"/>
  <c r="L11" i="1"/>
  <c r="N11" i="1"/>
  <c r="L8" i="1"/>
  <c r="L10" i="1"/>
  <c r="N10" i="1"/>
  <c r="L9" i="1"/>
  <c r="N9" i="1"/>
  <c r="N8" i="1"/>
  <c r="N7" i="1"/>
  <c r="L7" i="1"/>
  <c r="L6" i="1"/>
  <c r="N6" i="1"/>
  <c r="L5" i="1"/>
  <c r="N5" i="1"/>
  <c r="L3" i="1"/>
  <c r="N3" i="1"/>
  <c r="N4" i="1"/>
  <c r="L4" i="1"/>
  <c r="L2" i="1"/>
  <c r="N2" i="1"/>
  <c r="T52" i="1"/>
  <c r="V52" i="1"/>
  <c r="V51" i="1"/>
  <c r="T51" i="1"/>
  <c r="T50" i="1"/>
  <c r="V50" i="1"/>
  <c r="V49" i="1"/>
  <c r="T49" i="1"/>
  <c r="T48" i="1"/>
  <c r="V48" i="1"/>
  <c r="T47" i="1"/>
  <c r="V47" i="1"/>
  <c r="T46" i="1"/>
  <c r="V46" i="1"/>
  <c r="T45" i="1"/>
  <c r="V45" i="1"/>
  <c r="T44" i="1"/>
  <c r="V44" i="1"/>
  <c r="T43" i="1"/>
  <c r="V43" i="1"/>
  <c r="T42" i="1"/>
  <c r="V42" i="1"/>
  <c r="T41" i="1"/>
  <c r="V41" i="1"/>
  <c r="T40" i="1"/>
  <c r="V40" i="1"/>
  <c r="T34" i="1"/>
  <c r="V26" i="1"/>
  <c r="T24" i="1"/>
  <c r="T39" i="1"/>
  <c r="V25" i="1"/>
  <c r="T25" i="1"/>
  <c r="V39" i="1"/>
  <c r="T38" i="1"/>
  <c r="V38" i="1"/>
  <c r="V37" i="1"/>
  <c r="T37" i="1"/>
  <c r="X37" i="1"/>
  <c r="T36" i="1"/>
  <c r="V36" i="1"/>
  <c r="V34" i="1"/>
  <c r="T33" i="1"/>
  <c r="V33" i="1"/>
  <c r="V32" i="1"/>
  <c r="T32" i="1"/>
  <c r="T31" i="1"/>
  <c r="X31" i="1"/>
  <c r="V31" i="1"/>
  <c r="T30" i="1"/>
  <c r="X30" i="1"/>
  <c r="V30" i="1"/>
  <c r="T29" i="1"/>
  <c r="V29" i="1"/>
  <c r="T28" i="1"/>
  <c r="V28" i="1"/>
  <c r="T27" i="1"/>
  <c r="V27" i="1"/>
  <c r="T26" i="1"/>
  <c r="V24" i="1"/>
  <c r="T23" i="1"/>
  <c r="V23" i="1"/>
  <c r="T22" i="1"/>
  <c r="V22" i="1"/>
  <c r="T21" i="1"/>
  <c r="V21" i="1"/>
  <c r="T20" i="1"/>
  <c r="V20" i="1"/>
  <c r="T19" i="1"/>
  <c r="V19" i="1"/>
  <c r="U17" i="1"/>
  <c r="S17" i="1"/>
  <c r="R17" i="1"/>
  <c r="X17" i="1" s="1"/>
  <c r="U16" i="1"/>
  <c r="S16" i="1"/>
  <c r="R16" i="1"/>
  <c r="X16" i="1" s="1"/>
  <c r="U15" i="1"/>
  <c r="S15" i="1"/>
  <c r="R15" i="1"/>
  <c r="X15" i="1" s="1"/>
  <c r="V16" i="1" l="1"/>
  <c r="T16" i="1"/>
  <c r="T17" i="1"/>
  <c r="V17" i="1"/>
  <c r="T15" i="1"/>
  <c r="V15" i="1"/>
  <c r="U14" i="1"/>
  <c r="S14" i="1"/>
  <c r="R14" i="1"/>
  <c r="X14" i="1" l="1"/>
  <c r="V14" i="1"/>
  <c r="T14" i="1"/>
  <c r="U13" i="1"/>
  <c r="S13" i="1"/>
  <c r="R13" i="1"/>
  <c r="X13" i="1" s="1"/>
  <c r="U12" i="1"/>
  <c r="S12" i="1"/>
  <c r="R12" i="1"/>
  <c r="U11" i="1"/>
  <c r="S11" i="1"/>
  <c r="R11" i="1"/>
  <c r="X11" i="1" s="1"/>
  <c r="U10" i="1"/>
  <c r="S10" i="1"/>
  <c r="R10" i="1"/>
  <c r="X10" i="1" s="1"/>
  <c r="U9" i="1"/>
  <c r="S9" i="1"/>
  <c r="R9" i="1"/>
  <c r="X9" i="1" s="1"/>
  <c r="U8" i="1"/>
  <c r="S8" i="1"/>
  <c r="R8" i="1"/>
  <c r="X8" i="1" s="1"/>
  <c r="U7" i="1"/>
  <c r="S7" i="1"/>
  <c r="R7" i="1"/>
  <c r="X7" i="1" s="1"/>
  <c r="U6" i="1"/>
  <c r="S6" i="1"/>
  <c r="R6" i="1"/>
  <c r="R5" i="1"/>
  <c r="U5" i="1"/>
  <c r="S5" i="1"/>
  <c r="U4" i="1"/>
  <c r="S4" i="1"/>
  <c r="R4" i="1"/>
  <c r="X4" i="1" s="1"/>
  <c r="U3" i="1"/>
  <c r="S3" i="1"/>
  <c r="R3" i="1"/>
  <c r="X3" i="1" s="1"/>
  <c r="U2" i="1"/>
  <c r="S2" i="1"/>
  <c r="R2" i="1"/>
  <c r="X2" i="1" s="1"/>
  <c r="AB52" i="1"/>
  <c r="Z52" i="1"/>
  <c r="Y52" i="1"/>
  <c r="AE52" i="1" s="1"/>
  <c r="AB51" i="1"/>
  <c r="Z51" i="1"/>
  <c r="Y51" i="1"/>
  <c r="AE51" i="1" s="1"/>
  <c r="AB50" i="1"/>
  <c r="Z50" i="1"/>
  <c r="Y50" i="1"/>
  <c r="AE50" i="1" s="1"/>
  <c r="AB49" i="1"/>
  <c r="Z49" i="1"/>
  <c r="Y49" i="1"/>
  <c r="AB48" i="1"/>
  <c r="Z48" i="1"/>
  <c r="Y48" i="1"/>
  <c r="AE48" i="1" s="1"/>
  <c r="AB47" i="1"/>
  <c r="Z47" i="1"/>
  <c r="Y47" i="1"/>
  <c r="AB46" i="1"/>
  <c r="Z46" i="1"/>
  <c r="Y46" i="1"/>
  <c r="AE46" i="1" s="1"/>
  <c r="AB45" i="1"/>
  <c r="Z45" i="1"/>
  <c r="Y45" i="1"/>
  <c r="AE45" i="1" s="1"/>
  <c r="AB44" i="1"/>
  <c r="Z44" i="1"/>
  <c r="Y44" i="1"/>
  <c r="AB43" i="1"/>
  <c r="Z43" i="1"/>
  <c r="Y43" i="1"/>
  <c r="AB42" i="1"/>
  <c r="Z42" i="1"/>
  <c r="Y42" i="1"/>
  <c r="AE42" i="1" s="1"/>
  <c r="AB41" i="1"/>
  <c r="Z41" i="1"/>
  <c r="Y41" i="1"/>
  <c r="AB40" i="1"/>
  <c r="Z40" i="1"/>
  <c r="Y40" i="1"/>
  <c r="AB39" i="1"/>
  <c r="Z39" i="1"/>
  <c r="Y39" i="1"/>
  <c r="AE39" i="1" s="1"/>
  <c r="AB38" i="1"/>
  <c r="Z38" i="1"/>
  <c r="Y38" i="1"/>
  <c r="AE38" i="1" s="1"/>
  <c r="AB37" i="1"/>
  <c r="Z37" i="1"/>
  <c r="Y37" i="1"/>
  <c r="AE37" i="1" s="1"/>
  <c r="AB36" i="1"/>
  <c r="Z36" i="1"/>
  <c r="Y36" i="1"/>
  <c r="AE36" i="1" s="1"/>
  <c r="Y35" i="1"/>
  <c r="AB35" i="1"/>
  <c r="Z35" i="1"/>
  <c r="AB34" i="1"/>
  <c r="Y34" i="1"/>
  <c r="AB33" i="1"/>
  <c r="Z33" i="1"/>
  <c r="Y33" i="1"/>
  <c r="AE33" i="1" s="1"/>
  <c r="AB32" i="1"/>
  <c r="Z32" i="1"/>
  <c r="Y32" i="1"/>
  <c r="AB31" i="1"/>
  <c r="Z31" i="1"/>
  <c r="Y31" i="1"/>
  <c r="AB30" i="1"/>
  <c r="Z30" i="1"/>
  <c r="Y30" i="1"/>
  <c r="AE30" i="1" s="1"/>
  <c r="AB29" i="1"/>
  <c r="Z29" i="1"/>
  <c r="Y29" i="1"/>
  <c r="AE29" i="1" s="1"/>
  <c r="AB28" i="1"/>
  <c r="Z28" i="1"/>
  <c r="Y28" i="1"/>
  <c r="AE28" i="1" s="1"/>
  <c r="AB27" i="1"/>
  <c r="Z27" i="1"/>
  <c r="Y27" i="1"/>
  <c r="AB26" i="1"/>
  <c r="Z26" i="1"/>
  <c r="Y26" i="1"/>
  <c r="AB25" i="1"/>
  <c r="Z25" i="1"/>
  <c r="Y25" i="1"/>
  <c r="AE25" i="1" s="1"/>
  <c r="AB24" i="1"/>
  <c r="Z24" i="1"/>
  <c r="Y24" i="1"/>
  <c r="AB23" i="1"/>
  <c r="Z23" i="1"/>
  <c r="Y23" i="1"/>
  <c r="AC49" i="1" l="1"/>
  <c r="AA49" i="1"/>
  <c r="AC47" i="1"/>
  <c r="AA26" i="1"/>
  <c r="T5" i="1"/>
  <c r="AA35" i="1"/>
  <c r="V2" i="1"/>
  <c r="AC44" i="1"/>
  <c r="AA50" i="1"/>
  <c r="AA52" i="1"/>
  <c r="V12" i="1"/>
  <c r="V6" i="1"/>
  <c r="V11" i="1"/>
  <c r="T13" i="1"/>
  <c r="AA36" i="1"/>
  <c r="AC36" i="1"/>
  <c r="AE26" i="1"/>
  <c r="X5" i="1"/>
  <c r="T11" i="1"/>
  <c r="AA48" i="1"/>
  <c r="T7" i="1"/>
  <c r="AC26" i="1"/>
  <c r="AC34" i="1"/>
  <c r="AC48" i="1"/>
  <c r="V7" i="1"/>
  <c r="V13" i="1"/>
  <c r="T12" i="1"/>
  <c r="X12" i="1"/>
  <c r="V10" i="1"/>
  <c r="T10" i="1"/>
  <c r="T9" i="1"/>
  <c r="V9" i="1"/>
  <c r="T8" i="1"/>
  <c r="V8" i="1"/>
  <c r="X6" i="1"/>
  <c r="T6" i="1"/>
  <c r="V5" i="1"/>
  <c r="T4" i="1"/>
  <c r="V4" i="1"/>
  <c r="V3" i="1"/>
  <c r="T3" i="1"/>
  <c r="T2" i="1"/>
  <c r="AA27" i="1"/>
  <c r="AC29" i="1"/>
  <c r="AA37" i="1"/>
  <c r="AC37" i="1"/>
  <c r="AC31" i="1"/>
  <c r="AA24" i="1"/>
  <c r="AC28" i="1"/>
  <c r="AC52" i="1"/>
  <c r="AA51" i="1"/>
  <c r="AC51" i="1"/>
  <c r="AC50" i="1"/>
  <c r="AE49" i="1"/>
  <c r="AE47" i="1"/>
  <c r="AA47" i="1"/>
  <c r="AA46" i="1"/>
  <c r="AC46" i="1"/>
  <c r="AA45" i="1"/>
  <c r="AC45" i="1"/>
  <c r="AA44" i="1"/>
  <c r="AE44" i="1"/>
  <c r="AA43" i="1"/>
  <c r="AE43" i="1"/>
  <c r="AC43" i="1"/>
  <c r="AC42" i="1"/>
  <c r="AA42" i="1"/>
  <c r="AC41" i="1"/>
  <c r="AE41" i="1"/>
  <c r="AA41" i="1"/>
  <c r="AA40" i="1"/>
  <c r="AE40" i="1"/>
  <c r="AC40" i="1"/>
  <c r="AA39" i="1"/>
  <c r="AC39" i="1"/>
  <c r="AA38" i="1"/>
  <c r="AC38" i="1"/>
  <c r="AE35" i="1"/>
  <c r="AC35" i="1"/>
  <c r="AE34" i="1"/>
  <c r="AA34" i="1"/>
  <c r="AC33" i="1"/>
  <c r="AA33" i="1"/>
  <c r="AC32" i="1"/>
  <c r="AE32" i="1"/>
  <c r="AA32" i="1"/>
  <c r="AE31" i="1"/>
  <c r="AA31" i="1"/>
  <c r="AA30" i="1"/>
  <c r="AC30" i="1"/>
  <c r="AA29" i="1"/>
  <c r="AA28" i="1"/>
  <c r="AC27" i="1"/>
  <c r="AE27" i="1"/>
  <c r="AA25" i="1"/>
  <c r="AC25" i="1"/>
  <c r="AC24" i="1"/>
  <c r="AE24" i="1"/>
  <c r="AE23" i="1"/>
  <c r="AC23" i="1"/>
  <c r="AA23" i="1"/>
  <c r="AB22" i="1"/>
  <c r="Z22" i="1"/>
  <c r="Y22" i="1"/>
  <c r="AB21" i="1"/>
  <c r="Z21" i="1"/>
  <c r="Y21" i="1"/>
  <c r="AE21" i="1" s="1"/>
  <c r="Y20" i="1"/>
  <c r="AE20" i="1" s="1"/>
  <c r="AB20" i="1"/>
  <c r="Z20" i="1"/>
  <c r="AB19" i="1"/>
  <c r="Z19" i="1"/>
  <c r="Y19" i="1"/>
  <c r="AB18" i="1"/>
  <c r="AC18" i="1" s="1"/>
  <c r="AE18" i="1"/>
  <c r="AA18" i="1"/>
  <c r="AE17" i="1"/>
  <c r="AC17" i="1"/>
  <c r="AA17" i="1"/>
  <c r="AE16" i="1"/>
  <c r="AC16" i="1"/>
  <c r="AA16" i="1"/>
  <c r="AE15" i="1"/>
  <c r="AC15" i="1"/>
  <c r="AA15" i="1"/>
  <c r="AE14" i="1"/>
  <c r="AC14" i="1"/>
  <c r="AA14" i="1"/>
  <c r="AE13" i="1"/>
  <c r="AC13" i="1"/>
  <c r="AA13" i="1"/>
  <c r="AE12" i="1"/>
  <c r="AC12" i="1"/>
  <c r="AA12" i="1"/>
  <c r="AE11" i="1"/>
  <c r="AC11" i="1"/>
  <c r="AA11" i="1"/>
  <c r="AE10" i="1"/>
  <c r="AC10" i="1"/>
  <c r="AA10" i="1"/>
  <c r="AE9" i="1"/>
  <c r="AC9" i="1"/>
  <c r="AA9" i="1"/>
  <c r="AE8" i="1"/>
  <c r="AC8" i="1"/>
  <c r="AA8" i="1"/>
  <c r="AE7" i="1"/>
  <c r="AC7" i="1"/>
  <c r="AA7" i="1"/>
  <c r="AE6" i="1"/>
  <c r="AC6" i="1"/>
  <c r="AA6" i="1"/>
  <c r="AE5" i="1"/>
  <c r="AC5" i="1"/>
  <c r="AA5" i="1"/>
  <c r="AC19" i="1" l="1"/>
  <c r="AC22" i="1"/>
  <c r="AE22" i="1"/>
  <c r="AA22" i="1"/>
  <c r="AA21" i="1"/>
  <c r="AC21" i="1"/>
  <c r="AA20" i="1"/>
  <c r="AC20" i="1"/>
  <c r="AA19" i="1"/>
  <c r="AE19" i="1"/>
  <c r="AE4" i="1"/>
  <c r="AC4" i="1"/>
  <c r="AA4" i="1"/>
  <c r="AE3" i="1"/>
  <c r="AC3" i="1"/>
  <c r="AA3" i="1"/>
  <c r="AE2" i="1"/>
  <c r="AC2" i="1"/>
  <c r="AA2" i="1"/>
  <c r="AL52" i="1"/>
  <c r="AJ52" i="1"/>
  <c r="AH52" i="1"/>
  <c r="AL51" i="1" l="1"/>
  <c r="AJ51" i="1"/>
  <c r="AH51" i="1"/>
  <c r="AL50" i="1"/>
  <c r="AJ50" i="1"/>
  <c r="AH50" i="1"/>
  <c r="AL49" i="1"/>
  <c r="AJ49" i="1"/>
  <c r="AH49" i="1"/>
  <c r="AL48" i="1"/>
  <c r="AJ48" i="1"/>
  <c r="AH48" i="1"/>
  <c r="AL47" i="1"/>
  <c r="AJ47" i="1"/>
  <c r="AH47" i="1"/>
  <c r="AL46" i="1"/>
  <c r="AJ46" i="1"/>
  <c r="AH46" i="1"/>
  <c r="AL45" i="1"/>
  <c r="AJ45" i="1"/>
  <c r="AH45" i="1"/>
  <c r="AL44" i="1"/>
  <c r="AJ44" i="1"/>
  <c r="AH44" i="1"/>
  <c r="AL43" i="1"/>
  <c r="AJ43" i="1"/>
  <c r="AH43" i="1"/>
  <c r="AL42" i="1"/>
  <c r="AJ42" i="1"/>
  <c r="AH42" i="1"/>
  <c r="AL41" i="1"/>
  <c r="AJ41" i="1"/>
  <c r="AH41" i="1"/>
  <c r="AL40" i="1"/>
  <c r="AJ40" i="1"/>
  <c r="AH40" i="1"/>
  <c r="AL39" i="1"/>
  <c r="AJ39" i="1"/>
  <c r="AH39" i="1"/>
  <c r="AL38" i="1"/>
  <c r="AJ38" i="1"/>
  <c r="AH38" i="1"/>
  <c r="AL37" i="1"/>
  <c r="AJ37" i="1"/>
  <c r="AH37" i="1"/>
  <c r="AL36" i="1"/>
  <c r="AJ36" i="1"/>
  <c r="AH36" i="1"/>
  <c r="AL35" i="1"/>
  <c r="AJ35" i="1"/>
  <c r="AH35" i="1"/>
  <c r="AL34" i="1" l="1"/>
  <c r="AJ34" i="1"/>
  <c r="AH34" i="1"/>
  <c r="AL33" i="1"/>
  <c r="AJ33" i="1"/>
  <c r="AH33" i="1"/>
  <c r="AL32" i="1"/>
  <c r="AJ32" i="1"/>
  <c r="AH32" i="1"/>
  <c r="AL31" i="1"/>
  <c r="AJ31" i="1"/>
  <c r="AH31" i="1"/>
  <c r="AL30" i="1"/>
  <c r="AJ30" i="1"/>
  <c r="AH30" i="1"/>
  <c r="AL29" i="1"/>
  <c r="AJ29" i="1"/>
  <c r="AH29" i="1"/>
  <c r="AL28" i="1"/>
  <c r="AJ28" i="1"/>
  <c r="AH28" i="1"/>
  <c r="AL27" i="1"/>
  <c r="AJ27" i="1"/>
  <c r="AH27" i="1"/>
  <c r="AL26" i="1"/>
  <c r="AJ26" i="1"/>
  <c r="AH26" i="1"/>
  <c r="AL25" i="1"/>
  <c r="AJ25" i="1"/>
  <c r="AH25" i="1"/>
  <c r="AL24" i="1"/>
  <c r="AJ24" i="1"/>
  <c r="AH24" i="1"/>
  <c r="AL23" i="1"/>
  <c r="AJ23" i="1"/>
  <c r="AH23" i="1"/>
  <c r="AL22" i="1"/>
  <c r="AJ22" i="1"/>
  <c r="AH22" i="1"/>
  <c r="AL21" i="1"/>
  <c r="AJ21" i="1"/>
  <c r="AH21" i="1"/>
  <c r="AL20" i="1"/>
  <c r="AJ20" i="1"/>
  <c r="AH20" i="1"/>
  <c r="AL19" i="1"/>
  <c r="AJ19" i="1"/>
  <c r="AH19" i="1"/>
  <c r="AL18" i="1"/>
  <c r="AJ18" i="1"/>
  <c r="AH18" i="1"/>
  <c r="AL17" i="1"/>
  <c r="AJ17" i="1"/>
  <c r="AH17" i="1"/>
  <c r="AL16" i="1"/>
  <c r="AJ16" i="1"/>
  <c r="AH16" i="1"/>
  <c r="AL15" i="1"/>
  <c r="AJ15" i="1"/>
  <c r="AH15" i="1"/>
  <c r="AL14" i="1"/>
  <c r="AJ14" i="1"/>
  <c r="AH14" i="1"/>
  <c r="AL13" i="1"/>
  <c r="AJ13" i="1"/>
  <c r="AH13" i="1"/>
  <c r="AL12" i="1"/>
  <c r="AJ12" i="1"/>
  <c r="AH12" i="1"/>
  <c r="AL11" i="1"/>
  <c r="AJ11" i="1"/>
  <c r="AH11" i="1"/>
  <c r="AL10" i="1"/>
  <c r="AJ10" i="1"/>
  <c r="AH10" i="1"/>
  <c r="AL9" i="1"/>
  <c r="AI8" i="1"/>
  <c r="AF8" i="1"/>
  <c r="AH8" i="1" s="1"/>
  <c r="AI7" i="1"/>
  <c r="AJ7" i="1" s="1"/>
  <c r="AL7" i="1"/>
  <c r="AH7" i="1"/>
  <c r="AI6" i="1"/>
  <c r="AJ6" i="1" s="1"/>
  <c r="AL6" i="1"/>
  <c r="AH6" i="1"/>
  <c r="AI5" i="1"/>
  <c r="AJ5" i="1" s="1"/>
  <c r="AH5" i="1"/>
  <c r="AL5" i="1"/>
  <c r="AI4" i="1"/>
  <c r="AF4" i="1"/>
  <c r="AH4" i="1" s="1"/>
  <c r="AI2" i="1"/>
  <c r="AJ2" i="1" s="1"/>
  <c r="AI3" i="1"/>
  <c r="AJ3" i="1" s="1"/>
  <c r="AL3" i="1"/>
  <c r="AH3" i="1"/>
  <c r="AL2" i="1"/>
  <c r="AH2" i="1"/>
  <c r="AS52" i="1"/>
  <c r="AQ52" i="1"/>
  <c r="AO52" i="1"/>
  <c r="AS51" i="1"/>
  <c r="AQ51" i="1"/>
  <c r="AO51" i="1"/>
  <c r="AS50" i="1"/>
  <c r="AQ50" i="1"/>
  <c r="AO50" i="1"/>
  <c r="AS49" i="1"/>
  <c r="AQ49" i="1"/>
  <c r="AO49" i="1"/>
  <c r="AS48" i="1"/>
  <c r="AQ48" i="1"/>
  <c r="AO48" i="1"/>
  <c r="AS47" i="1"/>
  <c r="AQ47" i="1"/>
  <c r="AO47" i="1"/>
  <c r="AS46" i="1"/>
  <c r="AQ46" i="1"/>
  <c r="AO46" i="1"/>
  <c r="AS45" i="1"/>
  <c r="AQ45" i="1"/>
  <c r="AO45" i="1"/>
  <c r="AS44" i="1"/>
  <c r="AQ44" i="1"/>
  <c r="AO44" i="1"/>
  <c r="AS43" i="1"/>
  <c r="AQ43" i="1"/>
  <c r="AO43" i="1"/>
  <c r="AS42" i="1"/>
  <c r="AQ42" i="1"/>
  <c r="AO42" i="1"/>
  <c r="AS41" i="1"/>
  <c r="AQ41" i="1"/>
  <c r="AO41" i="1"/>
  <c r="AS40" i="1"/>
  <c r="AQ40" i="1"/>
  <c r="AO40" i="1"/>
  <c r="AS39" i="1"/>
  <c r="AQ39" i="1"/>
  <c r="AO39" i="1"/>
  <c r="AS38" i="1"/>
  <c r="AQ38" i="1"/>
  <c r="AO38" i="1"/>
  <c r="AS37" i="1"/>
  <c r="AQ37" i="1"/>
  <c r="AO37" i="1"/>
  <c r="AS36" i="1"/>
  <c r="AQ36" i="1"/>
  <c r="AO36" i="1"/>
  <c r="AS35" i="1"/>
  <c r="AQ35" i="1"/>
  <c r="AO35" i="1"/>
  <c r="AS34" i="1"/>
  <c r="AQ34" i="1"/>
  <c r="AO34" i="1"/>
  <c r="AS33" i="1"/>
  <c r="AQ33" i="1"/>
  <c r="AO33" i="1"/>
  <c r="AS32" i="1"/>
  <c r="AQ32" i="1"/>
  <c r="AO32" i="1"/>
  <c r="AS31" i="1"/>
  <c r="AQ31" i="1"/>
  <c r="AO31" i="1"/>
  <c r="AS30" i="1"/>
  <c r="AQ30" i="1"/>
  <c r="AO30" i="1"/>
  <c r="AS29" i="1"/>
  <c r="AQ29" i="1"/>
  <c r="AO29" i="1"/>
  <c r="AS28" i="1"/>
  <c r="AQ28" i="1"/>
  <c r="AO28" i="1"/>
  <c r="AS27" i="1"/>
  <c r="AQ27" i="1"/>
  <c r="AO27" i="1"/>
  <c r="AQ26" i="1"/>
  <c r="AS26" i="1"/>
  <c r="AO26" i="1"/>
  <c r="AS25" i="1"/>
  <c r="AQ25" i="1"/>
  <c r="AO25" i="1"/>
  <c r="AS24" i="1"/>
  <c r="AQ24" i="1"/>
  <c r="AO24" i="1"/>
  <c r="AS23" i="1"/>
  <c r="AQ23" i="1"/>
  <c r="AO23" i="1"/>
  <c r="AS22" i="1"/>
  <c r="AQ22" i="1"/>
  <c r="AO22" i="1"/>
  <c r="AS21" i="1"/>
  <c r="AQ21" i="1"/>
  <c r="AO21" i="1"/>
  <c r="AS20" i="1"/>
  <c r="AQ20" i="1"/>
  <c r="AO20" i="1"/>
  <c r="AS19" i="1"/>
  <c r="AQ19" i="1"/>
  <c r="AO19" i="1"/>
  <c r="AS18" i="1"/>
  <c r="AQ18" i="1"/>
  <c r="AO18" i="1"/>
  <c r="AS17" i="1"/>
  <c r="AQ17" i="1"/>
  <c r="AO17" i="1"/>
  <c r="AS16" i="1"/>
  <c r="AQ16" i="1"/>
  <c r="AO16" i="1"/>
  <c r="AS15" i="1"/>
  <c r="AQ15" i="1"/>
  <c r="AO15" i="1"/>
  <c r="AS14" i="1"/>
  <c r="AQ14" i="1"/>
  <c r="AO14" i="1"/>
  <c r="AS13" i="1"/>
  <c r="AQ13" i="1"/>
  <c r="AO13" i="1"/>
  <c r="AS12" i="1"/>
  <c r="AQ12" i="1"/>
  <c r="AO12" i="1"/>
  <c r="AS11" i="1"/>
  <c r="AQ11" i="1"/>
  <c r="AO11" i="1"/>
  <c r="AS10" i="1"/>
  <c r="AQ10" i="1"/>
  <c r="AO10" i="1"/>
  <c r="AS9" i="1"/>
  <c r="AQ9" i="1"/>
  <c r="AO9" i="1"/>
  <c r="AS8" i="1"/>
  <c r="AQ8" i="1"/>
  <c r="AO8" i="1"/>
  <c r="AS7" i="1"/>
  <c r="AQ7" i="1"/>
  <c r="AO7" i="1"/>
  <c r="AS6" i="1"/>
  <c r="AQ6" i="1"/>
  <c r="AO6" i="1"/>
  <c r="AS5" i="1"/>
  <c r="AQ5" i="1"/>
  <c r="AO5" i="1"/>
  <c r="AS4" i="1"/>
  <c r="AQ4" i="1"/>
  <c r="AO4" i="1"/>
  <c r="AS3" i="1"/>
  <c r="AQ3" i="1"/>
  <c r="AO3" i="1"/>
  <c r="AS2" i="1"/>
  <c r="AQ2" i="1"/>
  <c r="AO2" i="1"/>
  <c r="AZ52" i="1"/>
  <c r="AX52" i="1"/>
  <c r="AV52" i="1"/>
  <c r="AZ51" i="1"/>
  <c r="AX51" i="1"/>
  <c r="AV51" i="1"/>
  <c r="AZ50" i="1"/>
  <c r="AX50" i="1"/>
  <c r="AV50" i="1"/>
  <c r="AZ49" i="1"/>
  <c r="AX49" i="1"/>
  <c r="AV49" i="1"/>
  <c r="AZ48" i="1"/>
  <c r="AX48" i="1"/>
  <c r="AV48" i="1"/>
  <c r="AZ47" i="1"/>
  <c r="AX47" i="1"/>
  <c r="AV47" i="1"/>
  <c r="AZ46" i="1"/>
  <c r="AX46" i="1"/>
  <c r="AV46" i="1"/>
  <c r="AZ45" i="1"/>
  <c r="AX45" i="1"/>
  <c r="AV45" i="1"/>
  <c r="AZ44" i="1"/>
  <c r="AX44" i="1"/>
  <c r="AV44" i="1"/>
  <c r="AZ43" i="1"/>
  <c r="AX43" i="1"/>
  <c r="AV43" i="1"/>
  <c r="AZ42" i="1"/>
  <c r="AX42" i="1"/>
  <c r="AV42" i="1"/>
  <c r="AZ41" i="1"/>
  <c r="AX41" i="1"/>
  <c r="AV41" i="1"/>
  <c r="AZ40" i="1"/>
  <c r="AX40" i="1"/>
  <c r="AV40" i="1"/>
  <c r="AZ39" i="1"/>
  <c r="AX39" i="1"/>
  <c r="AV39" i="1"/>
  <c r="AZ38" i="1"/>
  <c r="AX38" i="1"/>
  <c r="AV38" i="1"/>
  <c r="AZ37" i="1"/>
  <c r="AX37" i="1"/>
  <c r="AV37" i="1"/>
  <c r="AZ36" i="1"/>
  <c r="AX36" i="1"/>
  <c r="AV36" i="1"/>
  <c r="AZ35" i="1"/>
  <c r="AX35" i="1"/>
  <c r="AV35" i="1"/>
  <c r="AZ34" i="1"/>
  <c r="AX34" i="1"/>
  <c r="AV34" i="1"/>
  <c r="AZ33" i="1"/>
  <c r="AX33" i="1"/>
  <c r="AV33" i="1"/>
  <c r="AZ32" i="1"/>
  <c r="AX32" i="1"/>
  <c r="AV32" i="1"/>
  <c r="AZ31" i="1"/>
  <c r="AX31" i="1"/>
  <c r="AV31" i="1"/>
  <c r="AZ30" i="1"/>
  <c r="AX30" i="1"/>
  <c r="AV30" i="1"/>
  <c r="AZ29" i="1"/>
  <c r="AX29" i="1"/>
  <c r="AV29" i="1"/>
  <c r="AZ28" i="1"/>
  <c r="AX28" i="1"/>
  <c r="AV28" i="1"/>
  <c r="AZ27" i="1"/>
  <c r="AX27" i="1"/>
  <c r="AV27" i="1"/>
  <c r="AZ26" i="1"/>
  <c r="AX26" i="1"/>
  <c r="AV26" i="1"/>
  <c r="AZ25" i="1"/>
  <c r="AX25" i="1"/>
  <c r="AV25" i="1"/>
  <c r="AZ24" i="1"/>
  <c r="AX24" i="1"/>
  <c r="AV24" i="1"/>
  <c r="AZ23" i="1"/>
  <c r="AX23" i="1"/>
  <c r="AV23" i="1"/>
  <c r="AZ22" i="1"/>
  <c r="AX22" i="1"/>
  <c r="AV22" i="1"/>
  <c r="AZ21" i="1"/>
  <c r="AX21" i="1"/>
  <c r="AV21" i="1"/>
  <c r="AZ20" i="1"/>
  <c r="AX20" i="1"/>
  <c r="AV20" i="1"/>
  <c r="AZ19" i="1"/>
  <c r="AX19" i="1"/>
  <c r="AV19" i="1"/>
  <c r="AZ18" i="1"/>
  <c r="AX18" i="1"/>
  <c r="AV18" i="1"/>
  <c r="AZ17" i="1"/>
  <c r="AX17" i="1"/>
  <c r="AV17" i="1"/>
  <c r="AZ16" i="1"/>
  <c r="AX16" i="1"/>
  <c r="AV16" i="1"/>
  <c r="AZ15" i="1"/>
  <c r="AX15" i="1"/>
  <c r="AV15" i="1"/>
  <c r="AZ14" i="1"/>
  <c r="AX14" i="1"/>
  <c r="AV14" i="1"/>
  <c r="AZ13" i="1"/>
  <c r="AX13" i="1"/>
  <c r="AV13" i="1"/>
  <c r="AZ12" i="1"/>
  <c r="AX12" i="1"/>
  <c r="AV12" i="1"/>
  <c r="AZ11" i="1"/>
  <c r="AX11" i="1"/>
  <c r="AV11" i="1"/>
  <c r="AZ10" i="1"/>
  <c r="AX10" i="1"/>
  <c r="AV10" i="1"/>
  <c r="AZ9" i="1"/>
  <c r="AX9" i="1"/>
  <c r="AV9" i="1"/>
  <c r="AZ8" i="1"/>
  <c r="AX8" i="1"/>
  <c r="AV8" i="1"/>
  <c r="AZ7" i="1"/>
  <c r="AX7" i="1"/>
  <c r="AV7" i="1"/>
  <c r="AZ6" i="1"/>
  <c r="AX6" i="1"/>
  <c r="AV6" i="1"/>
  <c r="AZ5" i="1"/>
  <c r="AX5" i="1"/>
  <c r="AV5" i="1"/>
  <c r="AZ4" i="1"/>
  <c r="AX4" i="1"/>
  <c r="AV4" i="1"/>
  <c r="AZ3" i="1"/>
  <c r="AX3" i="1"/>
  <c r="AV3" i="1"/>
  <c r="AZ2" i="1"/>
  <c r="AX2" i="1"/>
  <c r="AV2" i="1"/>
  <c r="BG52" i="1"/>
  <c r="BE52" i="1"/>
  <c r="BC52" i="1"/>
  <c r="BG51" i="1"/>
  <c r="BE51" i="1"/>
  <c r="BC51" i="1"/>
  <c r="BG50" i="1"/>
  <c r="BE50" i="1"/>
  <c r="BC50" i="1"/>
  <c r="BG49" i="1"/>
  <c r="BE49" i="1"/>
  <c r="BC49" i="1"/>
  <c r="BG48" i="1"/>
  <c r="BE48" i="1"/>
  <c r="BC48" i="1"/>
  <c r="BG47" i="1"/>
  <c r="BE47" i="1"/>
  <c r="BC47" i="1"/>
  <c r="BG46" i="1"/>
  <c r="BE46" i="1"/>
  <c r="BC46" i="1"/>
  <c r="BG45" i="1"/>
  <c r="BE45" i="1"/>
  <c r="BC45" i="1"/>
  <c r="BG44" i="1"/>
  <c r="BE44" i="1"/>
  <c r="BC44" i="1"/>
  <c r="BG43" i="1"/>
  <c r="BE43" i="1"/>
  <c r="BC43" i="1"/>
  <c r="BG42" i="1"/>
  <c r="BE42" i="1"/>
  <c r="BC42" i="1"/>
  <c r="BG41" i="1"/>
  <c r="BE41" i="1"/>
  <c r="BC41" i="1"/>
  <c r="BG40" i="1"/>
  <c r="BE40" i="1"/>
  <c r="BC40" i="1"/>
  <c r="BG39" i="1"/>
  <c r="BE39" i="1"/>
  <c r="BC39" i="1"/>
  <c r="BG38" i="1"/>
  <c r="BE38" i="1"/>
  <c r="BC38" i="1"/>
  <c r="BG37" i="1"/>
  <c r="BE37" i="1"/>
  <c r="BC37" i="1"/>
  <c r="BG36" i="1"/>
  <c r="BE36" i="1"/>
  <c r="BC36" i="1"/>
  <c r="BG35" i="1"/>
  <c r="BE35" i="1"/>
  <c r="BC35" i="1"/>
  <c r="BG34" i="1"/>
  <c r="BE34" i="1"/>
  <c r="BC34" i="1"/>
  <c r="BG33" i="1"/>
  <c r="BE33" i="1"/>
  <c r="BC33" i="1"/>
  <c r="BG32" i="1"/>
  <c r="BE32" i="1"/>
  <c r="BC32" i="1"/>
  <c r="BG31" i="1"/>
  <c r="BE31" i="1"/>
  <c r="BC31" i="1"/>
  <c r="BG30" i="1"/>
  <c r="BE30" i="1"/>
  <c r="BC30" i="1"/>
  <c r="BG29" i="1"/>
  <c r="BE29" i="1"/>
  <c r="BC29" i="1"/>
  <c r="BG28" i="1"/>
  <c r="BE28" i="1"/>
  <c r="BC28" i="1"/>
  <c r="BG27" i="1"/>
  <c r="BE27" i="1"/>
  <c r="BC27" i="1"/>
  <c r="BG26" i="1"/>
  <c r="BE26" i="1"/>
  <c r="BC26" i="1"/>
  <c r="BG25" i="1"/>
  <c r="BE25" i="1"/>
  <c r="BC25" i="1"/>
  <c r="BG24" i="1"/>
  <c r="BE24" i="1"/>
  <c r="BC24" i="1"/>
  <c r="BG23" i="1"/>
  <c r="BE23" i="1"/>
  <c r="BC23" i="1"/>
  <c r="BG22" i="1"/>
  <c r="BE22" i="1"/>
  <c r="BC22" i="1"/>
  <c r="BG21" i="1"/>
  <c r="BE21" i="1"/>
  <c r="BC21" i="1"/>
  <c r="BG20" i="1"/>
  <c r="BE20" i="1"/>
  <c r="BC20" i="1"/>
  <c r="BG19" i="1"/>
  <c r="BE19" i="1"/>
  <c r="BC19" i="1"/>
  <c r="BG18" i="1"/>
  <c r="BE18" i="1"/>
  <c r="BC18" i="1"/>
  <c r="BG17" i="1"/>
  <c r="BE17" i="1"/>
  <c r="BC17" i="1"/>
  <c r="BG16" i="1"/>
  <c r="BE16" i="1"/>
  <c r="BC16" i="1"/>
  <c r="BG15" i="1"/>
  <c r="BE15" i="1"/>
  <c r="BC15" i="1"/>
  <c r="BG14" i="1"/>
  <c r="BE14" i="1"/>
  <c r="BC14" i="1"/>
  <c r="BG13" i="1"/>
  <c r="BE13" i="1"/>
  <c r="BC13" i="1"/>
  <c r="BG12" i="1"/>
  <c r="BE12" i="1"/>
  <c r="BC12" i="1"/>
  <c r="BG11" i="1"/>
  <c r="BE11" i="1"/>
  <c r="BC11" i="1"/>
  <c r="BG10" i="1"/>
  <c r="BE10" i="1"/>
  <c r="BC10" i="1"/>
  <c r="BG9" i="1"/>
  <c r="BE9" i="1"/>
  <c r="BC9" i="1"/>
  <c r="BG8" i="1"/>
  <c r="BE8" i="1"/>
  <c r="BC8" i="1"/>
  <c r="BG7" i="1"/>
  <c r="BE7" i="1"/>
  <c r="BC7" i="1"/>
  <c r="BG6" i="1"/>
  <c r="BE6" i="1"/>
  <c r="BC6" i="1"/>
  <c r="BU5" i="1"/>
  <c r="BG5" i="1"/>
  <c r="BG4" i="1"/>
  <c r="BE5" i="1"/>
  <c r="BC5" i="1"/>
  <c r="BE4" i="1"/>
  <c r="BC4" i="1"/>
  <c r="BG3" i="1"/>
  <c r="BE3" i="1"/>
  <c r="BC3" i="1"/>
  <c r="BG2" i="1"/>
  <c r="BE2" i="1"/>
  <c r="BC2" i="1"/>
  <c r="BN51" i="1"/>
  <c r="BL51" i="1"/>
  <c r="BJ51" i="1"/>
  <c r="BN50" i="1"/>
  <c r="BL50" i="1"/>
  <c r="BJ50" i="1"/>
  <c r="BN49" i="1"/>
  <c r="BL49" i="1"/>
  <c r="BJ49" i="1"/>
  <c r="BN48" i="1"/>
  <c r="BL48" i="1"/>
  <c r="BJ48" i="1"/>
  <c r="BN47" i="1"/>
  <c r="BL47" i="1"/>
  <c r="BJ47" i="1"/>
  <c r="BN46" i="1"/>
  <c r="BL46" i="1"/>
  <c r="BJ46" i="1"/>
  <c r="BN45" i="1"/>
  <c r="BL45" i="1"/>
  <c r="BJ45" i="1"/>
  <c r="BN44" i="1"/>
  <c r="BL44" i="1"/>
  <c r="BJ44" i="1"/>
  <c r="BN43" i="1"/>
  <c r="BL43" i="1"/>
  <c r="BJ43" i="1"/>
  <c r="BN42" i="1"/>
  <c r="BL42" i="1"/>
  <c r="BJ42" i="1"/>
  <c r="BN41" i="1"/>
  <c r="BL41" i="1"/>
  <c r="BJ41" i="1"/>
  <c r="BN40" i="1"/>
  <c r="BL40" i="1"/>
  <c r="BJ40" i="1"/>
  <c r="BN39" i="1"/>
  <c r="BL39" i="1"/>
  <c r="BJ39" i="1"/>
  <c r="BN38" i="1"/>
  <c r="BL38" i="1"/>
  <c r="BJ38" i="1"/>
  <c r="BN37" i="1"/>
  <c r="BL37" i="1"/>
  <c r="BJ37" i="1"/>
  <c r="BN36" i="1"/>
  <c r="BL36" i="1"/>
  <c r="BJ36" i="1"/>
  <c r="BN35" i="1"/>
  <c r="BL35" i="1"/>
  <c r="BJ35" i="1"/>
  <c r="BN34" i="1"/>
  <c r="BL34" i="1"/>
  <c r="BJ34" i="1"/>
  <c r="BN33" i="1"/>
  <c r="BL33" i="1"/>
  <c r="BJ33" i="1"/>
  <c r="BN32" i="1"/>
  <c r="BL32" i="1"/>
  <c r="BJ32" i="1"/>
  <c r="BN31" i="1"/>
  <c r="BL31" i="1"/>
  <c r="BJ31" i="1"/>
  <c r="BN30" i="1"/>
  <c r="BL30" i="1"/>
  <c r="BJ30" i="1"/>
  <c r="BN29" i="1"/>
  <c r="BL29" i="1"/>
  <c r="BJ29" i="1"/>
  <c r="BN28" i="1"/>
  <c r="BL28" i="1"/>
  <c r="BJ28" i="1"/>
  <c r="BN27" i="1"/>
  <c r="BL27" i="1"/>
  <c r="BJ27" i="1"/>
  <c r="BN26" i="1"/>
  <c r="BL26" i="1"/>
  <c r="BJ26" i="1"/>
  <c r="BN25" i="1"/>
  <c r="BL25" i="1"/>
  <c r="BJ25" i="1"/>
  <c r="BN24" i="1"/>
  <c r="BL24" i="1"/>
  <c r="BJ24" i="1"/>
  <c r="BN23" i="1"/>
  <c r="BL23" i="1"/>
  <c r="BJ23" i="1"/>
  <c r="BN22" i="1"/>
  <c r="BL22" i="1"/>
  <c r="BJ22" i="1"/>
  <c r="BN21" i="1"/>
  <c r="BL21" i="1"/>
  <c r="BJ21" i="1"/>
  <c r="BN20" i="1"/>
  <c r="BL20" i="1"/>
  <c r="BJ20" i="1"/>
  <c r="BN19" i="1"/>
  <c r="BL19" i="1"/>
  <c r="BJ19" i="1"/>
  <c r="BN18" i="1"/>
  <c r="BL18" i="1"/>
  <c r="BJ18" i="1"/>
  <c r="BN17" i="1"/>
  <c r="BL17" i="1"/>
  <c r="BJ17" i="1"/>
  <c r="BN16" i="1"/>
  <c r="BL16" i="1"/>
  <c r="BJ16" i="1"/>
  <c r="BN15" i="1"/>
  <c r="BL15" i="1"/>
  <c r="BJ15" i="1"/>
  <c r="BN14" i="1"/>
  <c r="BL14" i="1"/>
  <c r="BJ14" i="1"/>
  <c r="BN13" i="1"/>
  <c r="BL13" i="1"/>
  <c r="BJ13" i="1"/>
  <c r="BN12" i="1"/>
  <c r="BL12" i="1"/>
  <c r="BJ12" i="1"/>
  <c r="BN11" i="1"/>
  <c r="BL11" i="1"/>
  <c r="BJ11" i="1"/>
  <c r="BN10" i="1"/>
  <c r="BL10" i="1"/>
  <c r="BJ10" i="1"/>
  <c r="BN9" i="1"/>
  <c r="BL9" i="1"/>
  <c r="BJ9" i="1"/>
  <c r="BN8" i="1"/>
  <c r="BL8" i="1"/>
  <c r="BJ8" i="1"/>
  <c r="BN7" i="1"/>
  <c r="BL7" i="1"/>
  <c r="BJ7" i="1"/>
  <c r="BN6" i="1"/>
  <c r="BL6" i="1"/>
  <c r="BJ6" i="1"/>
  <c r="BN5" i="1"/>
  <c r="BL5" i="1"/>
  <c r="BJ5" i="1"/>
  <c r="BN4" i="1"/>
  <c r="BL4" i="1"/>
  <c r="BJ4" i="1"/>
  <c r="BN3" i="1"/>
  <c r="BL3" i="1"/>
  <c r="BJ3" i="1"/>
  <c r="CS52" i="1"/>
  <c r="CP52" i="1"/>
  <c r="CN52" i="1"/>
  <c r="CL52" i="1"/>
  <c r="CB52" i="1"/>
  <c r="BZ52" i="1"/>
  <c r="BX52" i="1"/>
  <c r="BU52" i="1"/>
  <c r="BS52" i="1"/>
  <c r="BQ52" i="1"/>
  <c r="DE51" i="1"/>
  <c r="DB51" i="1"/>
  <c r="CY51" i="1"/>
  <c r="CV51" i="1"/>
  <c r="CS51" i="1"/>
  <c r="CP51" i="1"/>
  <c r="CN51" i="1"/>
  <c r="CL51" i="1"/>
  <c r="CI51" i="1"/>
  <c r="CG51" i="1"/>
  <c r="CE51" i="1"/>
  <c r="CB51" i="1"/>
  <c r="BZ51" i="1"/>
  <c r="BX51" i="1"/>
  <c r="BU51" i="1"/>
  <c r="BS51" i="1"/>
  <c r="BQ51" i="1"/>
  <c r="DE50" i="1"/>
  <c r="DB50" i="1"/>
  <c r="CY50" i="1"/>
  <c r="CV50" i="1"/>
  <c r="CS50" i="1"/>
  <c r="CP50" i="1"/>
  <c r="CN50" i="1"/>
  <c r="CL50" i="1"/>
  <c r="CI50" i="1"/>
  <c r="CG50" i="1"/>
  <c r="CE50" i="1"/>
  <c r="CB50" i="1"/>
  <c r="BZ50" i="1"/>
  <c r="BX50" i="1"/>
  <c r="BU50" i="1"/>
  <c r="BS50" i="1"/>
  <c r="BQ50" i="1"/>
  <c r="DE49" i="1"/>
  <c r="DB49" i="1"/>
  <c r="CY49" i="1"/>
  <c r="CV49" i="1"/>
  <c r="CS49" i="1"/>
  <c r="CP49" i="1"/>
  <c r="CN49" i="1"/>
  <c r="CL49" i="1"/>
  <c r="CI49" i="1"/>
  <c r="CG49" i="1"/>
  <c r="CE49" i="1"/>
  <c r="CB49" i="1"/>
  <c r="BZ49" i="1"/>
  <c r="BX49" i="1"/>
  <c r="BU49" i="1"/>
  <c r="BS49" i="1"/>
  <c r="BQ49" i="1"/>
  <c r="DE48" i="1"/>
  <c r="DB48" i="1"/>
  <c r="CY48" i="1"/>
  <c r="CV48" i="1"/>
  <c r="CS48" i="1"/>
  <c r="CP48" i="1"/>
  <c r="CN48" i="1"/>
  <c r="CL48" i="1"/>
  <c r="CI48" i="1"/>
  <c r="CG48" i="1"/>
  <c r="CE48" i="1"/>
  <c r="CB48" i="1"/>
  <c r="BZ48" i="1"/>
  <c r="BX48" i="1"/>
  <c r="BU48" i="1"/>
  <c r="BS48" i="1"/>
  <c r="BQ48" i="1"/>
  <c r="DE47" i="1"/>
  <c r="DB47" i="1"/>
  <c r="CY47" i="1"/>
  <c r="CV47" i="1"/>
  <c r="CS47" i="1"/>
  <c r="CP47" i="1"/>
  <c r="CN47" i="1"/>
  <c r="CL47" i="1"/>
  <c r="CI47" i="1"/>
  <c r="CG47" i="1"/>
  <c r="CE47" i="1"/>
  <c r="CB47" i="1"/>
  <c r="BZ47" i="1"/>
  <c r="BX47" i="1"/>
  <c r="BU47" i="1"/>
  <c r="BS47" i="1"/>
  <c r="BQ47" i="1"/>
  <c r="DE46" i="1"/>
  <c r="DB46" i="1"/>
  <c r="CY46" i="1"/>
  <c r="CV46" i="1"/>
  <c r="CS46" i="1"/>
  <c r="CP46" i="1"/>
  <c r="CN46" i="1"/>
  <c r="CL46" i="1"/>
  <c r="CI46" i="1"/>
  <c r="CG46" i="1"/>
  <c r="CE46" i="1"/>
  <c r="CB46" i="1"/>
  <c r="BZ46" i="1"/>
  <c r="BX46" i="1"/>
  <c r="BU46" i="1"/>
  <c r="BS46" i="1"/>
  <c r="BQ46" i="1"/>
  <c r="DE45" i="1"/>
  <c r="DB45" i="1"/>
  <c r="CY45" i="1"/>
  <c r="CV45" i="1"/>
  <c r="CS45" i="1"/>
  <c r="CP45" i="1"/>
  <c r="CN45" i="1"/>
  <c r="CL45" i="1"/>
  <c r="CI45" i="1"/>
  <c r="CG45" i="1"/>
  <c r="CE45" i="1"/>
  <c r="CB45" i="1"/>
  <c r="BZ45" i="1"/>
  <c r="BX45" i="1"/>
  <c r="BU45" i="1"/>
  <c r="BS45" i="1"/>
  <c r="BQ45" i="1"/>
  <c r="DE44" i="1"/>
  <c r="DB44" i="1"/>
  <c r="CV44" i="1"/>
  <c r="CS44" i="1"/>
  <c r="CP44" i="1"/>
  <c r="CN44" i="1"/>
  <c r="CL44" i="1"/>
  <c r="CI44" i="1"/>
  <c r="CG44" i="1"/>
  <c r="CE44" i="1"/>
  <c r="CB44" i="1"/>
  <c r="BZ44" i="1"/>
  <c r="BX44" i="1"/>
  <c r="BU44" i="1"/>
  <c r="BS44" i="1"/>
  <c r="BQ44" i="1"/>
  <c r="DE43" i="1"/>
  <c r="DB43" i="1"/>
  <c r="CV43" i="1"/>
  <c r="CS43" i="1"/>
  <c r="CP43" i="1"/>
  <c r="CN43" i="1"/>
  <c r="CL43" i="1"/>
  <c r="CI43" i="1"/>
  <c r="CG43" i="1"/>
  <c r="CE43" i="1"/>
  <c r="CB43" i="1"/>
  <c r="BZ43" i="1"/>
  <c r="BX43" i="1"/>
  <c r="BU43" i="1"/>
  <c r="BS43" i="1"/>
  <c r="BQ43" i="1"/>
  <c r="DE42" i="1"/>
  <c r="DB42" i="1"/>
  <c r="CY42" i="1"/>
  <c r="CV42" i="1"/>
  <c r="CS42" i="1"/>
  <c r="CP42" i="1"/>
  <c r="CN42" i="1"/>
  <c r="CL42" i="1"/>
  <c r="CI42" i="1"/>
  <c r="CG42" i="1"/>
  <c r="CE42" i="1"/>
  <c r="CB42" i="1"/>
  <c r="BZ42" i="1"/>
  <c r="BX42" i="1"/>
  <c r="BU42" i="1"/>
  <c r="BS42" i="1"/>
  <c r="BQ42" i="1"/>
  <c r="DE41" i="1"/>
  <c r="DB41" i="1"/>
  <c r="CY41" i="1"/>
  <c r="CV41" i="1"/>
  <c r="CS41" i="1"/>
  <c r="CN41" i="1"/>
  <c r="CL41" i="1"/>
  <c r="CI41" i="1"/>
  <c r="CG41" i="1"/>
  <c r="CE41" i="1"/>
  <c r="CB41" i="1"/>
  <c r="BZ41" i="1"/>
  <c r="BX41" i="1"/>
  <c r="BU41" i="1"/>
  <c r="BS41" i="1"/>
  <c r="BQ41" i="1"/>
  <c r="DE40" i="1"/>
  <c r="DB40" i="1"/>
  <c r="CY40" i="1"/>
  <c r="CV40" i="1"/>
  <c r="CS40" i="1"/>
  <c r="CP40" i="1"/>
  <c r="CN40" i="1"/>
  <c r="CL40" i="1"/>
  <c r="CI40" i="1"/>
  <c r="CG40" i="1"/>
  <c r="CE40" i="1"/>
  <c r="CB40" i="1"/>
  <c r="BZ40" i="1"/>
  <c r="BX40" i="1"/>
  <c r="BU40" i="1"/>
  <c r="BS40" i="1"/>
  <c r="BQ40" i="1"/>
  <c r="DE39" i="1"/>
  <c r="DB39" i="1"/>
  <c r="CY39" i="1"/>
  <c r="CV39" i="1"/>
  <c r="CS39" i="1"/>
  <c r="CP39" i="1"/>
  <c r="CN39" i="1"/>
  <c r="CL39" i="1"/>
  <c r="CI39" i="1"/>
  <c r="CG39" i="1"/>
  <c r="CE39" i="1"/>
  <c r="CB39" i="1"/>
  <c r="BZ39" i="1"/>
  <c r="BX39" i="1"/>
  <c r="BU39" i="1"/>
  <c r="BS39" i="1"/>
  <c r="BQ39" i="1"/>
  <c r="DE38" i="1"/>
  <c r="DB38" i="1"/>
  <c r="CY38" i="1"/>
  <c r="CV38" i="1"/>
  <c r="CS38" i="1"/>
  <c r="CP38" i="1"/>
  <c r="CN38" i="1"/>
  <c r="CL38" i="1"/>
  <c r="CI38" i="1"/>
  <c r="CG38" i="1"/>
  <c r="CE38" i="1"/>
  <c r="CB38" i="1"/>
  <c r="BZ38" i="1"/>
  <c r="BX38" i="1"/>
  <c r="BU38" i="1"/>
  <c r="BS38" i="1"/>
  <c r="BQ38" i="1"/>
  <c r="DE37" i="1"/>
  <c r="DB37" i="1"/>
  <c r="CY37" i="1"/>
  <c r="CV37" i="1"/>
  <c r="CS37" i="1"/>
  <c r="CP37" i="1"/>
  <c r="CN37" i="1"/>
  <c r="CL37" i="1"/>
  <c r="CI37" i="1"/>
  <c r="CG37" i="1"/>
  <c r="CE37" i="1"/>
  <c r="CB37" i="1"/>
  <c r="BZ37" i="1"/>
  <c r="BX37" i="1"/>
  <c r="BU37" i="1"/>
  <c r="BS37" i="1"/>
  <c r="BQ37" i="1"/>
  <c r="DE36" i="1"/>
  <c r="DB36" i="1"/>
  <c r="CY36" i="1"/>
  <c r="CV36" i="1"/>
  <c r="CS36" i="1"/>
  <c r="CP36" i="1"/>
  <c r="CN36" i="1"/>
  <c r="CL36" i="1"/>
  <c r="CI36" i="1"/>
  <c r="CG36" i="1"/>
  <c r="CE36" i="1"/>
  <c r="CB36" i="1"/>
  <c r="BZ36" i="1"/>
  <c r="BX36" i="1"/>
  <c r="BU36" i="1"/>
  <c r="BS36" i="1"/>
  <c r="BQ36" i="1"/>
  <c r="DE35" i="1"/>
  <c r="DB35" i="1"/>
  <c r="CY35" i="1"/>
  <c r="CV35" i="1"/>
  <c r="CS35" i="1"/>
  <c r="CP35" i="1"/>
  <c r="CN35" i="1"/>
  <c r="CL35" i="1"/>
  <c r="CI35" i="1"/>
  <c r="CG35" i="1"/>
  <c r="CE35" i="1"/>
  <c r="CB35" i="1"/>
  <c r="BZ35" i="1"/>
  <c r="BX35" i="1"/>
  <c r="BU35" i="1"/>
  <c r="BS35" i="1"/>
  <c r="BQ35" i="1"/>
  <c r="DE34" i="1"/>
  <c r="DB34" i="1"/>
  <c r="CY34" i="1"/>
  <c r="CV34" i="1"/>
  <c r="CS34" i="1"/>
  <c r="CP34" i="1"/>
  <c r="CN34" i="1"/>
  <c r="CL34" i="1"/>
  <c r="CI34" i="1"/>
  <c r="CG34" i="1"/>
  <c r="CE34" i="1"/>
  <c r="CB34" i="1"/>
  <c r="BZ34" i="1"/>
  <c r="BX34" i="1"/>
  <c r="BU34" i="1"/>
  <c r="BS34" i="1"/>
  <c r="BQ34" i="1"/>
  <c r="DE33" i="1"/>
  <c r="DB33" i="1"/>
  <c r="CY33" i="1"/>
  <c r="CV33" i="1"/>
  <c r="CS33" i="1"/>
  <c r="CP33" i="1"/>
  <c r="CN33" i="1"/>
  <c r="CL33" i="1"/>
  <c r="CI33" i="1"/>
  <c r="CG33" i="1"/>
  <c r="CE33" i="1"/>
  <c r="CB33" i="1"/>
  <c r="BZ33" i="1"/>
  <c r="BX33" i="1"/>
  <c r="BU33" i="1"/>
  <c r="BS33" i="1"/>
  <c r="BQ33" i="1"/>
  <c r="DE32" i="1"/>
  <c r="DB32" i="1"/>
  <c r="CY32" i="1"/>
  <c r="CV32" i="1"/>
  <c r="CS32" i="1"/>
  <c r="CP32" i="1"/>
  <c r="CN32" i="1"/>
  <c r="CL32" i="1"/>
  <c r="CI32" i="1"/>
  <c r="CG32" i="1"/>
  <c r="CE32" i="1"/>
  <c r="CB32" i="1"/>
  <c r="BZ32" i="1"/>
  <c r="BX32" i="1"/>
  <c r="BU32" i="1"/>
  <c r="BS32" i="1"/>
  <c r="BQ32" i="1"/>
  <c r="DE31" i="1"/>
  <c r="DB31" i="1"/>
  <c r="CY31" i="1"/>
  <c r="CV31" i="1"/>
  <c r="CS31" i="1"/>
  <c r="CP31" i="1"/>
  <c r="CN31" i="1"/>
  <c r="CL31" i="1"/>
  <c r="CI31" i="1"/>
  <c r="CG31" i="1"/>
  <c r="CE31" i="1"/>
  <c r="CB31" i="1"/>
  <c r="BZ31" i="1"/>
  <c r="BX31" i="1"/>
  <c r="BU31" i="1"/>
  <c r="BS31" i="1"/>
  <c r="BQ31" i="1"/>
  <c r="DE30" i="1"/>
  <c r="DB30" i="1"/>
  <c r="CY30" i="1"/>
  <c r="CV30" i="1"/>
  <c r="CS30" i="1"/>
  <c r="CP30" i="1"/>
  <c r="CN30" i="1"/>
  <c r="CL30" i="1"/>
  <c r="CI30" i="1"/>
  <c r="CG30" i="1"/>
  <c r="CE30" i="1"/>
  <c r="CB30" i="1"/>
  <c r="BZ30" i="1"/>
  <c r="BX30" i="1"/>
  <c r="BU30" i="1"/>
  <c r="BS30" i="1"/>
  <c r="BQ30" i="1"/>
  <c r="DE29" i="1"/>
  <c r="DB29" i="1"/>
  <c r="CY29" i="1"/>
  <c r="CV29" i="1"/>
  <c r="CS29" i="1"/>
  <c r="CP29" i="1"/>
  <c r="CN29" i="1"/>
  <c r="CL29" i="1"/>
  <c r="CI29" i="1"/>
  <c r="CG29" i="1"/>
  <c r="CE29" i="1"/>
  <c r="CB29" i="1"/>
  <c r="BZ29" i="1"/>
  <c r="BX29" i="1"/>
  <c r="BU29" i="1"/>
  <c r="BS29" i="1"/>
  <c r="BQ29" i="1"/>
  <c r="DE28" i="1"/>
  <c r="DB28" i="1"/>
  <c r="CY28" i="1"/>
  <c r="CV28" i="1"/>
  <c r="CS28" i="1"/>
  <c r="CP28" i="1"/>
  <c r="CN28" i="1"/>
  <c r="CL28" i="1"/>
  <c r="CI28" i="1"/>
  <c r="CG28" i="1"/>
  <c r="CE28" i="1"/>
  <c r="CB28" i="1"/>
  <c r="BZ28" i="1"/>
  <c r="BX28" i="1"/>
  <c r="BU28" i="1"/>
  <c r="BS28" i="1"/>
  <c r="BQ28" i="1"/>
  <c r="DE27" i="1"/>
  <c r="DB27" i="1"/>
  <c r="CY27" i="1"/>
  <c r="CV27" i="1"/>
  <c r="CS27" i="1"/>
  <c r="CP27" i="1"/>
  <c r="CN27" i="1"/>
  <c r="CL27" i="1"/>
  <c r="CI27" i="1"/>
  <c r="CG27" i="1"/>
  <c r="CE27" i="1"/>
  <c r="CB27" i="1"/>
  <c r="BZ27" i="1"/>
  <c r="BX27" i="1"/>
  <c r="BU27" i="1"/>
  <c r="BS27" i="1"/>
  <c r="BQ27" i="1"/>
  <c r="DE26" i="1"/>
  <c r="DB26" i="1"/>
  <c r="CY26" i="1"/>
  <c r="CV26" i="1"/>
  <c r="CS26" i="1"/>
  <c r="CP26" i="1"/>
  <c r="CN26" i="1"/>
  <c r="CL26" i="1"/>
  <c r="CI26" i="1"/>
  <c r="CG26" i="1"/>
  <c r="CE26" i="1"/>
  <c r="CB26" i="1"/>
  <c r="BZ26" i="1"/>
  <c r="BX26" i="1"/>
  <c r="BU26" i="1"/>
  <c r="BS26" i="1"/>
  <c r="BQ26" i="1"/>
  <c r="DE25" i="1"/>
  <c r="DB25" i="1"/>
  <c r="CY25" i="1"/>
  <c r="CV25" i="1"/>
  <c r="CS25" i="1"/>
  <c r="CP25" i="1"/>
  <c r="CN25" i="1"/>
  <c r="CL25" i="1"/>
  <c r="CI25" i="1"/>
  <c r="CG25" i="1"/>
  <c r="CE25" i="1"/>
  <c r="CB25" i="1"/>
  <c r="BZ25" i="1"/>
  <c r="BX25" i="1"/>
  <c r="BU25" i="1"/>
  <c r="BS25" i="1"/>
  <c r="BQ25" i="1"/>
  <c r="DE24" i="1"/>
  <c r="DB24" i="1"/>
  <c r="CY24" i="1"/>
  <c r="CV24" i="1"/>
  <c r="CS24" i="1"/>
  <c r="CP24" i="1"/>
  <c r="CN24" i="1"/>
  <c r="CL24" i="1"/>
  <c r="CI24" i="1"/>
  <c r="CG24" i="1"/>
  <c r="CE24" i="1"/>
  <c r="CB24" i="1"/>
  <c r="BZ24" i="1"/>
  <c r="BX24" i="1"/>
  <c r="BU24" i="1"/>
  <c r="BS24" i="1"/>
  <c r="BQ24" i="1"/>
  <c r="DE23" i="1"/>
  <c r="DB23" i="1"/>
  <c r="CY23" i="1"/>
  <c r="CV23" i="1"/>
  <c r="CS23" i="1"/>
  <c r="CP23" i="1"/>
  <c r="CI23" i="1"/>
  <c r="CG23" i="1"/>
  <c r="CE23" i="1"/>
  <c r="CB23" i="1"/>
  <c r="BZ23" i="1"/>
  <c r="BX23" i="1"/>
  <c r="BU23" i="1"/>
  <c r="BS23" i="1"/>
  <c r="BQ23" i="1"/>
  <c r="DE22" i="1"/>
  <c r="DB22" i="1"/>
  <c r="CY22" i="1"/>
  <c r="CV22" i="1"/>
  <c r="CS22" i="1"/>
  <c r="CP22" i="1"/>
  <c r="CN22" i="1"/>
  <c r="CL22" i="1"/>
  <c r="CI22" i="1"/>
  <c r="CG22" i="1"/>
  <c r="CE22" i="1"/>
  <c r="CB22" i="1"/>
  <c r="BZ22" i="1"/>
  <c r="BX22" i="1"/>
  <c r="BU22" i="1"/>
  <c r="BS22" i="1"/>
  <c r="BQ22" i="1"/>
  <c r="DE21" i="1"/>
  <c r="DB21" i="1"/>
  <c r="CY21" i="1"/>
  <c r="CV21" i="1"/>
  <c r="CS21" i="1"/>
  <c r="CP21" i="1"/>
  <c r="CN21" i="1"/>
  <c r="CL21" i="1"/>
  <c r="CI21" i="1"/>
  <c r="CG21" i="1"/>
  <c r="CE21" i="1"/>
  <c r="CB21" i="1"/>
  <c r="BZ21" i="1"/>
  <c r="BX21" i="1"/>
  <c r="BU21" i="1"/>
  <c r="BS21" i="1"/>
  <c r="BQ21" i="1"/>
  <c r="DE20" i="1"/>
  <c r="DB20" i="1"/>
  <c r="CY20" i="1"/>
  <c r="CV20" i="1"/>
  <c r="CS20" i="1"/>
  <c r="CP20" i="1"/>
  <c r="CN20" i="1"/>
  <c r="CL20" i="1"/>
  <c r="CI20" i="1"/>
  <c r="CG20" i="1"/>
  <c r="CE20" i="1"/>
  <c r="CB20" i="1"/>
  <c r="BZ20" i="1"/>
  <c r="BX20" i="1"/>
  <c r="BU20" i="1"/>
  <c r="BS20" i="1"/>
  <c r="BQ20" i="1"/>
  <c r="DE19" i="1"/>
  <c r="DB19" i="1"/>
  <c r="CY19" i="1"/>
  <c r="CV19" i="1"/>
  <c r="CS19" i="1"/>
  <c r="CP19" i="1"/>
  <c r="CI19" i="1"/>
  <c r="CG19" i="1"/>
  <c r="CE19" i="1"/>
  <c r="CB19" i="1"/>
  <c r="BZ19" i="1"/>
  <c r="BX19" i="1"/>
  <c r="BU19" i="1"/>
  <c r="BS19" i="1"/>
  <c r="BQ19" i="1"/>
  <c r="DE18" i="1"/>
  <c r="DB18" i="1"/>
  <c r="CY18" i="1"/>
  <c r="CV18" i="1"/>
  <c r="CS18" i="1"/>
  <c r="CP18" i="1"/>
  <c r="CN18" i="1"/>
  <c r="CL18" i="1"/>
  <c r="CI18" i="1"/>
  <c r="CG18" i="1"/>
  <c r="CE18" i="1"/>
  <c r="CB18" i="1"/>
  <c r="BZ18" i="1"/>
  <c r="BX18" i="1"/>
  <c r="BU18" i="1"/>
  <c r="BS18" i="1"/>
  <c r="BQ18" i="1"/>
  <c r="DE17" i="1"/>
  <c r="DB17" i="1"/>
  <c r="CY17" i="1"/>
  <c r="CV17" i="1"/>
  <c r="CS17" i="1"/>
  <c r="CP17" i="1"/>
  <c r="CN17" i="1"/>
  <c r="CL17" i="1"/>
  <c r="CI17" i="1"/>
  <c r="CG17" i="1"/>
  <c r="CE17" i="1"/>
  <c r="CB17" i="1"/>
  <c r="BZ17" i="1"/>
  <c r="BX17" i="1"/>
  <c r="BU17" i="1"/>
  <c r="BS17" i="1"/>
  <c r="BQ17" i="1"/>
  <c r="DE16" i="1"/>
  <c r="DB16" i="1"/>
  <c r="CY16" i="1"/>
  <c r="CV16" i="1"/>
  <c r="CS16" i="1"/>
  <c r="CP16" i="1"/>
  <c r="CN16" i="1"/>
  <c r="CL16" i="1"/>
  <c r="CI16" i="1"/>
  <c r="CG16" i="1"/>
  <c r="CE16" i="1"/>
  <c r="CB16" i="1"/>
  <c r="BZ16" i="1"/>
  <c r="BX16" i="1"/>
  <c r="BU16" i="1"/>
  <c r="BS16" i="1"/>
  <c r="BQ16" i="1"/>
  <c r="DE15" i="1"/>
  <c r="DB15" i="1"/>
  <c r="CY15" i="1"/>
  <c r="CV15" i="1"/>
  <c r="CS15" i="1"/>
  <c r="CP15" i="1"/>
  <c r="CN15" i="1"/>
  <c r="CL15" i="1"/>
  <c r="CI15" i="1"/>
  <c r="CG15" i="1"/>
  <c r="CE15" i="1"/>
  <c r="CB15" i="1"/>
  <c r="BZ15" i="1"/>
  <c r="BX15" i="1"/>
  <c r="BU15" i="1"/>
  <c r="BS15" i="1"/>
  <c r="BQ15" i="1"/>
  <c r="DE14" i="1"/>
  <c r="DB14" i="1"/>
  <c r="CY14" i="1"/>
  <c r="CV14" i="1"/>
  <c r="CS14" i="1"/>
  <c r="CP14" i="1"/>
  <c r="CN14" i="1"/>
  <c r="CL14" i="1"/>
  <c r="CI14" i="1"/>
  <c r="CG14" i="1"/>
  <c r="CE14" i="1"/>
  <c r="CB14" i="1"/>
  <c r="BZ14" i="1"/>
  <c r="BX14" i="1"/>
  <c r="BU14" i="1"/>
  <c r="BS14" i="1"/>
  <c r="BQ14" i="1"/>
  <c r="DE13" i="1"/>
  <c r="DB13" i="1"/>
  <c r="CY13" i="1"/>
  <c r="CV13" i="1"/>
  <c r="CS13" i="1"/>
  <c r="CP13" i="1"/>
  <c r="CN13" i="1"/>
  <c r="CL13" i="1"/>
  <c r="CI13" i="1"/>
  <c r="CG13" i="1"/>
  <c r="CE13" i="1"/>
  <c r="CB13" i="1"/>
  <c r="BZ13" i="1"/>
  <c r="BX13" i="1"/>
  <c r="BU13" i="1"/>
  <c r="BS13" i="1"/>
  <c r="BQ13" i="1"/>
  <c r="DE12" i="1"/>
  <c r="DB12" i="1"/>
  <c r="CY12" i="1"/>
  <c r="CV12" i="1"/>
  <c r="CS12" i="1"/>
  <c r="CP12" i="1"/>
  <c r="CN12" i="1"/>
  <c r="CL12" i="1"/>
  <c r="CI12" i="1"/>
  <c r="CG12" i="1"/>
  <c r="CE12" i="1"/>
  <c r="CB12" i="1"/>
  <c r="BZ12" i="1"/>
  <c r="BX12" i="1"/>
  <c r="BU12" i="1"/>
  <c r="BS12" i="1"/>
  <c r="BQ12" i="1"/>
  <c r="DE11" i="1"/>
  <c r="DB11" i="1"/>
  <c r="CY11" i="1"/>
  <c r="CV11" i="1"/>
  <c r="CS11" i="1"/>
  <c r="CP11" i="1"/>
  <c r="CN11" i="1"/>
  <c r="CL11" i="1"/>
  <c r="CI11" i="1"/>
  <c r="CG11" i="1"/>
  <c r="CE11" i="1"/>
  <c r="CB11" i="1"/>
  <c r="BZ11" i="1"/>
  <c r="BX11" i="1"/>
  <c r="BU11" i="1"/>
  <c r="BS11" i="1"/>
  <c r="BQ11" i="1"/>
  <c r="DE10" i="1"/>
  <c r="DB10" i="1"/>
  <c r="CY10" i="1"/>
  <c r="CV10" i="1"/>
  <c r="CS10" i="1"/>
  <c r="CP10" i="1"/>
  <c r="CN10" i="1"/>
  <c r="CL10" i="1"/>
  <c r="CI10" i="1"/>
  <c r="CG10" i="1"/>
  <c r="CE10" i="1"/>
  <c r="CB10" i="1"/>
  <c r="BZ10" i="1"/>
  <c r="BX10" i="1"/>
  <c r="BU10" i="1"/>
  <c r="BS10" i="1"/>
  <c r="BQ10" i="1"/>
  <c r="DE9" i="1"/>
  <c r="DB9" i="1"/>
  <c r="CY9" i="1"/>
  <c r="CV9" i="1"/>
  <c r="CS9" i="1"/>
  <c r="CP9" i="1"/>
  <c r="CN9" i="1"/>
  <c r="CL9" i="1"/>
  <c r="CI9" i="1"/>
  <c r="CG9" i="1"/>
  <c r="CE9" i="1"/>
  <c r="CB9" i="1"/>
  <c r="BZ9" i="1"/>
  <c r="BX9" i="1"/>
  <c r="BU9" i="1"/>
  <c r="BS9" i="1"/>
  <c r="BQ9" i="1"/>
  <c r="DE8" i="1"/>
  <c r="DB8" i="1"/>
  <c r="CY8" i="1"/>
  <c r="CV8" i="1"/>
  <c r="CS8" i="1"/>
  <c r="CP8" i="1"/>
  <c r="CN8" i="1"/>
  <c r="CL8" i="1"/>
  <c r="CI8" i="1"/>
  <c r="CG8" i="1"/>
  <c r="CE8" i="1"/>
  <c r="CB8" i="1"/>
  <c r="BZ8" i="1"/>
  <c r="BX8" i="1"/>
  <c r="BU8" i="1"/>
  <c r="BS8" i="1"/>
  <c r="BQ8" i="1"/>
  <c r="DE7" i="1"/>
  <c r="DB7" i="1"/>
  <c r="CY7" i="1"/>
  <c r="CV7" i="1"/>
  <c r="CS7" i="1"/>
  <c r="CP7" i="1"/>
  <c r="CN7" i="1"/>
  <c r="CL7" i="1"/>
  <c r="CI7" i="1"/>
  <c r="CG7" i="1"/>
  <c r="CE7" i="1"/>
  <c r="CB7" i="1"/>
  <c r="BZ7" i="1"/>
  <c r="BX7" i="1"/>
  <c r="BU7" i="1"/>
  <c r="BS7" i="1"/>
  <c r="BQ7" i="1"/>
  <c r="DE6" i="1"/>
  <c r="DB6" i="1"/>
  <c r="CY6" i="1"/>
  <c r="CV6" i="1"/>
  <c r="CS6" i="1"/>
  <c r="CP6" i="1"/>
  <c r="CN6" i="1"/>
  <c r="CL6" i="1"/>
  <c r="CI6" i="1"/>
  <c r="CG6" i="1"/>
  <c r="CE6" i="1"/>
  <c r="CB6" i="1"/>
  <c r="BZ6" i="1"/>
  <c r="BX6" i="1"/>
  <c r="BU6" i="1"/>
  <c r="BS6" i="1"/>
  <c r="BQ6" i="1"/>
  <c r="DE5" i="1"/>
  <c r="DB5" i="1"/>
  <c r="CY5" i="1"/>
  <c r="CV5" i="1"/>
  <c r="CS5" i="1"/>
  <c r="CP5" i="1"/>
  <c r="CN5" i="1"/>
  <c r="CL5" i="1"/>
  <c r="CI5" i="1"/>
  <c r="CG5" i="1"/>
  <c r="CE5" i="1"/>
  <c r="CB5" i="1"/>
  <c r="BZ5" i="1"/>
  <c r="BX5" i="1"/>
  <c r="BS5" i="1"/>
  <c r="BQ5" i="1"/>
  <c r="DE4" i="1"/>
  <c r="DB4" i="1"/>
  <c r="CY4" i="1"/>
  <c r="CV4" i="1"/>
  <c r="CS4" i="1"/>
  <c r="CP4" i="1"/>
  <c r="CN4" i="1"/>
  <c r="CL4" i="1"/>
  <c r="CI4" i="1"/>
  <c r="CG4" i="1"/>
  <c r="CE4" i="1"/>
  <c r="CB4" i="1"/>
  <c r="BZ4" i="1"/>
  <c r="BX4" i="1"/>
  <c r="BU4" i="1"/>
  <c r="BS4" i="1"/>
  <c r="BQ4" i="1"/>
  <c r="DE3" i="1"/>
  <c r="DB3" i="1"/>
  <c r="CY3" i="1"/>
  <c r="CV3" i="1"/>
  <c r="CS3" i="1"/>
  <c r="CP3" i="1"/>
  <c r="CN3" i="1"/>
  <c r="CL3" i="1"/>
  <c r="CI3" i="1"/>
  <c r="CG3" i="1"/>
  <c r="CE3" i="1"/>
  <c r="CB3" i="1"/>
  <c r="BZ3" i="1"/>
  <c r="BX3" i="1"/>
  <c r="BU3" i="1"/>
  <c r="BS3" i="1"/>
  <c r="BQ3" i="1"/>
  <c r="DE2" i="1"/>
  <c r="DB2" i="1"/>
  <c r="CY2" i="1"/>
  <c r="CV2" i="1"/>
  <c r="CS2" i="1"/>
  <c r="CP2" i="1"/>
  <c r="CN2" i="1"/>
  <c r="CL2" i="1"/>
  <c r="CI2" i="1"/>
  <c r="CG2" i="1"/>
  <c r="CE2" i="1"/>
  <c r="CB2" i="1"/>
  <c r="BZ2" i="1"/>
  <c r="BX2" i="1"/>
  <c r="BU2" i="1"/>
  <c r="BS2" i="1"/>
  <c r="BQ2" i="1"/>
  <c r="BN2" i="1"/>
  <c r="BL2" i="1"/>
  <c r="BJ2" i="1"/>
  <c r="AL8" i="1" l="1"/>
  <c r="AJ4" i="1"/>
  <c r="AL4" i="1"/>
  <c r="AJ8" i="1"/>
  <c r="AH9" i="1"/>
  <c r="AJ9" i="1"/>
</calcChain>
</file>

<file path=xl/sharedStrings.xml><?xml version="1.0" encoding="utf-8"?>
<sst xmlns="http://schemas.openxmlformats.org/spreadsheetml/2006/main" count="158" uniqueCount="76">
  <si>
    <t>Main</t>
  </si>
  <si>
    <t>Sec</t>
  </si>
  <si>
    <t>Kenya</t>
  </si>
  <si>
    <t>Foreign</t>
  </si>
  <si>
    <t>Reprints</t>
  </si>
  <si>
    <t>Fresh</t>
  </si>
  <si>
    <t>Ttl '16</t>
  </si>
  <si>
    <t>Ttl '15</t>
  </si>
  <si>
    <t>Ttl. '14</t>
  </si>
  <si>
    <t xml:space="preserve">  Ttl.’13</t>
  </si>
  <si>
    <t xml:space="preserve">  Ttl.’12</t>
  </si>
  <si>
    <t xml:space="preserve">  Ttl.’11</t>
  </si>
  <si>
    <t xml:space="preserve">  Ttl.’10</t>
  </si>
  <si>
    <t xml:space="preserve">  Ttl.’09</t>
  </si>
  <si>
    <t xml:space="preserve">  Ttl.’08</t>
  </si>
  <si>
    <t>Ttl'17</t>
  </si>
  <si>
    <t>Ttl'18</t>
  </si>
  <si>
    <t>Ttl'19</t>
  </si>
  <si>
    <t>Ttl'20</t>
  </si>
  <si>
    <t>Ttl'21</t>
  </si>
  <si>
    <t>Ttl'22</t>
  </si>
  <si>
    <t>From Date/Sale No</t>
  </si>
  <si>
    <t>Ttl'23</t>
  </si>
  <si>
    <t>Ttl'24</t>
  </si>
  <si>
    <t>Ttl'25</t>
  </si>
  <si>
    <t>06.01.25 sale 01</t>
  </si>
  <si>
    <t>13.01.25 sale 02</t>
  </si>
  <si>
    <t>20.01.25 sale 03</t>
  </si>
  <si>
    <t>27.01.25 sale 04</t>
  </si>
  <si>
    <t>10.02.25 sale 06</t>
  </si>
  <si>
    <t>17.02.25 sale 07</t>
  </si>
  <si>
    <t>24.02.25 sale 08</t>
  </si>
  <si>
    <t>03.03.25 sale 09</t>
  </si>
  <si>
    <t>10.03.25 sale 10</t>
  </si>
  <si>
    <t>17.03.25 sale 11</t>
  </si>
  <si>
    <t>24.03.25 sale 12</t>
  </si>
  <si>
    <t>01.04.25 sale 13</t>
  </si>
  <si>
    <t>07.04.25 sale 14</t>
  </si>
  <si>
    <t>14.04.25 sale 15</t>
  </si>
  <si>
    <t>22.04.25 sale 16</t>
  </si>
  <si>
    <t>28.04.25 sale 17</t>
  </si>
  <si>
    <t>12.05.25 sale 19</t>
  </si>
  <si>
    <t>05.05.25 sale 18</t>
  </si>
  <si>
    <t>19.05.25 sale 20</t>
  </si>
  <si>
    <t>26.05.25 sale 21</t>
  </si>
  <si>
    <t>03.06.24 sale 22</t>
  </si>
  <si>
    <t>09.06.25 sale 23</t>
  </si>
  <si>
    <t>16.06.25 sale 24</t>
  </si>
  <si>
    <t>23.06.25 sale 25</t>
  </si>
  <si>
    <t>30.06.25 sale 26</t>
  </si>
  <si>
    <t>07.07.25 sale 27</t>
  </si>
  <si>
    <t>14.07.25 sale 28</t>
  </si>
  <si>
    <t>21.07.25 sale 29</t>
  </si>
  <si>
    <t>28.07.25 sale 30</t>
  </si>
  <si>
    <t>04.08.24 sale 31</t>
  </si>
  <si>
    <t>11.08.25 sale 32</t>
  </si>
  <si>
    <t>18.08.25 sale 33</t>
  </si>
  <si>
    <t>25.08.25 sale 34</t>
  </si>
  <si>
    <t>01.09.25 sale 35</t>
  </si>
  <si>
    <t>08.09.25 sale 36</t>
  </si>
  <si>
    <t>15.09.25 sale 37</t>
  </si>
  <si>
    <t>22.09.25 sale 38</t>
  </si>
  <si>
    <t>29.09.25 sale 39</t>
  </si>
  <si>
    <t>06.10.25 sale 40</t>
  </si>
  <si>
    <t>13.10.25 sale 41</t>
  </si>
  <si>
    <t>20.10.25 sale 42</t>
  </si>
  <si>
    <t>27.10.25 sale 43</t>
  </si>
  <si>
    <t>03.11.25 sale 44</t>
  </si>
  <si>
    <t>10.11.25 sale 45</t>
  </si>
  <si>
    <t>17.11.25 sale 46</t>
  </si>
  <si>
    <t>24.11.25 sale 47</t>
  </si>
  <si>
    <t>01.12.25 sale 48</t>
  </si>
  <si>
    <t>08.12.25 sale 49</t>
  </si>
  <si>
    <t>15.12.25 sale 50</t>
  </si>
  <si>
    <t>22.12.25 sale 51</t>
  </si>
  <si>
    <t>03.02.25 sale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</si>
</sst>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80"/>
      <name val="Arial"/>
      <family val="2"/>
    </font>
    <font>
      <sz val="10"/>
      <color rgb="FF008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7" fillId="0" borderId="9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7" fillId="0" borderId="9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 wrapText="1"/>
    </xf>
    <xf numFmtId="1" fontId="7" fillId="0" borderId="12" xfId="1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" fontId="3" fillId="0" borderId="12" xfId="1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1" fontId="7" fillId="0" borderId="12" xfId="0" applyNumberFormat="1" applyFont="1" applyBorder="1" applyAlignment="1">
      <alignment horizontal="center" wrapText="1"/>
    </xf>
    <xf numFmtId="1" fontId="2" fillId="0" borderId="18" xfId="1" applyNumberFormat="1" applyFont="1" applyBorder="1" applyAlignment="1">
      <alignment horizontal="center" wrapText="1"/>
    </xf>
    <xf numFmtId="1" fontId="2" fillId="0" borderId="12" xfId="1" applyNumberFormat="1" applyFont="1" applyBorder="1" applyAlignment="1">
      <alignment horizontal="center" wrapText="1"/>
    </xf>
    <xf numFmtId="1" fontId="2" fillId="0" borderId="12" xfId="0" applyNumberFormat="1" applyFont="1" applyBorder="1" applyAlignment="1">
      <alignment horizontal="center" wrapText="1"/>
    </xf>
    <xf numFmtId="1" fontId="3" fillId="0" borderId="12" xfId="0" applyNumberFormat="1" applyFont="1" applyBorder="1" applyAlignment="1">
      <alignment horizontal="center" wrapText="1"/>
    </xf>
    <xf numFmtId="1" fontId="7" fillId="0" borderId="20" xfId="1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3" fillId="0" borderId="20" xfId="1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" fontId="3" fillId="0" borderId="14" xfId="1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 wrapText="1"/>
    </xf>
    <xf numFmtId="1" fontId="2" fillId="0" borderId="14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1" fontId="3" fillId="0" borderId="14" xfId="0" applyNumberFormat="1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1" fontId="2" fillId="0" borderId="16" xfId="0" applyNumberFormat="1" applyFont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1" fontId="7" fillId="0" borderId="14" xfId="1" applyNumberFormat="1" applyFont="1" applyBorder="1" applyAlignment="1">
      <alignment horizontal="center" vertical="center"/>
    </xf>
    <xf numFmtId="1" fontId="3" fillId="0" borderId="14" xfId="1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7" fillId="0" borderId="16" xfId="1" applyNumberFormat="1" applyFont="1" applyBorder="1" applyAlignment="1">
      <alignment horizontal="center" vertical="center"/>
    </xf>
    <xf numFmtId="1" fontId="7" fillId="0" borderId="16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" fontId="7" fillId="0" borderId="26" xfId="1" applyNumberFormat="1" applyFont="1" applyBorder="1" applyAlignment="1">
      <alignment horizontal="center" vertical="center"/>
    </xf>
    <xf numFmtId="1" fontId="3" fillId="0" borderId="26" xfId="1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7" fillId="0" borderId="9" xfId="1" applyNumberFormat="1" applyFont="1" applyFill="1" applyBorder="1" applyAlignment="1">
      <alignment horizontal="center" vertical="center"/>
    </xf>
    <xf numFmtId="1" fontId="7" fillId="0" borderId="31" xfId="1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" fontId="3" fillId="0" borderId="31" xfId="1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" fontId="7" fillId="0" borderId="12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3" fillId="0" borderId="12" xfId="1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1" fontId="7" fillId="0" borderId="26" xfId="1" applyNumberFormat="1" applyFont="1" applyFill="1" applyBorder="1" applyAlignment="1">
      <alignment horizontal="center" vertical="center"/>
    </xf>
    <xf numFmtId="1" fontId="3" fillId="0" borderId="26" xfId="1" applyNumberFormat="1" applyFont="1" applyFill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" fontId="3" fillId="0" borderId="37" xfId="0" applyNumberFormat="1" applyFont="1" applyBorder="1" applyAlignment="1">
      <alignment horizontal="center" vertical="center" wrapText="1"/>
    </xf>
    <xf numFmtId="1" fontId="3" fillId="0" borderId="38" xfId="1" applyNumberFormat="1" applyFont="1" applyFill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right"/>
    </xf>
    <xf numFmtId="0" fontId="2" fillId="0" borderId="39" xfId="0" applyFont="1" applyBorder="1" applyAlignment="1">
      <alignment horizontal="right"/>
    </xf>
    <xf numFmtId="0" fontId="2" fillId="0" borderId="42" xfId="0" applyFont="1" applyBorder="1" applyAlignment="1">
      <alignment horizontal="right"/>
    </xf>
    <xf numFmtId="0" fontId="2" fillId="0" borderId="43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44" xfId="0" applyFon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2" fillId="0" borderId="45" xfId="0" applyFont="1" applyBorder="1" applyAlignment="1">
      <alignment horizontal="righ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right"/>
    </xf>
    <xf numFmtId="1" fontId="2" fillId="0" borderId="9" xfId="0" applyNumberFormat="1" applyFont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52"/>
  <sheetViews>
    <sheetView tabSelected="1" topLeftCell="A28" workbookViewId="0">
      <selection activeCell="B39" sqref="B39"/>
    </sheetView>
  </sheetViews>
  <sheetFormatPr defaultRowHeight="14.5" x14ac:dyDescent="0.35"/>
  <cols>
    <col min="1" max="1" width="15" customWidth="1"/>
    <col min="2" max="2" width="7.36328125" customWidth="1"/>
    <col min="3" max="3" width="7.81640625" customWidth="1"/>
    <col min="4" max="4" width="7.36328125" customWidth="1"/>
    <col min="5" max="5" width="8.1796875" customWidth="1"/>
    <col min="6" max="7" width="7.36328125" customWidth="1"/>
    <col min="8" max="8" width="7.90625" customWidth="1"/>
    <col min="9" max="9" width="2.08984375" customWidth="1"/>
    <col min="10" max="10" width="7.81640625" customWidth="1"/>
    <col min="11" max="11" width="7" customWidth="1"/>
    <col min="12" max="12" width="6.90625" customWidth="1"/>
    <col min="13" max="13" width="7.36328125" customWidth="1"/>
    <col min="14" max="14" width="7.6328125" customWidth="1"/>
    <col min="15" max="15" width="7.453125" customWidth="1"/>
    <col min="16" max="16" width="7.90625" customWidth="1"/>
    <col min="17" max="17" width="2.81640625" customWidth="1"/>
    <col min="18" max="18" width="8.08984375" customWidth="1"/>
    <col min="19" max="19" width="7.36328125" customWidth="1"/>
    <col min="20" max="20" width="6.6328125" customWidth="1"/>
    <col min="21" max="21" width="8" customWidth="1"/>
    <col min="22" max="22" width="8.36328125" customWidth="1"/>
    <col min="23" max="23" width="8" customWidth="1"/>
    <col min="24" max="24" width="7.36328125" customWidth="1"/>
    <col min="25" max="25" width="8.08984375" customWidth="1"/>
    <col min="26" max="26" width="7.36328125" customWidth="1"/>
    <col min="27" max="27" width="6.6328125" customWidth="1"/>
    <col min="28" max="28" width="8" customWidth="1"/>
    <col min="29" max="29" width="8.36328125" customWidth="1"/>
    <col min="30" max="30" width="8" customWidth="1"/>
    <col min="31" max="31" width="7.36328125" customWidth="1"/>
    <col min="32" max="32" width="8.08984375" customWidth="1"/>
    <col min="33" max="33" width="7.36328125" customWidth="1"/>
    <col min="34" max="34" width="6.6328125" customWidth="1"/>
    <col min="35" max="35" width="8" customWidth="1"/>
    <col min="36" max="36" width="8.36328125" customWidth="1"/>
    <col min="37" max="37" width="8" customWidth="1"/>
    <col min="38" max="38" width="7.36328125" customWidth="1"/>
    <col min="39" max="39" width="8.36328125" customWidth="1"/>
    <col min="40" max="40" width="8.08984375" customWidth="1"/>
    <col min="41" max="41" width="7.90625" customWidth="1"/>
    <col min="42" max="42" width="8.08984375" customWidth="1"/>
    <col min="43" max="43" width="7.36328125" customWidth="1"/>
    <col min="44" max="44" width="8.08984375" customWidth="1"/>
    <col min="45" max="45" width="7.54296875" customWidth="1"/>
    <col min="46" max="46" width="6.90625" customWidth="1"/>
    <col min="47" max="47" width="7.6328125" customWidth="1"/>
    <col min="48" max="48" width="6" customWidth="1"/>
    <col min="49" max="49" width="7.6328125" customWidth="1"/>
    <col min="50" max="50" width="7.54296875" customWidth="1"/>
    <col min="51" max="51" width="7.6328125" customWidth="1"/>
    <col min="52" max="52" width="7" customWidth="1"/>
    <col min="53" max="53" width="7.36328125" customWidth="1"/>
    <col min="54" max="54" width="7.6328125" customWidth="1"/>
    <col min="55" max="55" width="6" customWidth="1"/>
    <col min="56" max="56" width="6.90625" customWidth="1"/>
    <col min="57" max="58" width="8.36328125" customWidth="1"/>
    <col min="59" max="59" width="7" customWidth="1"/>
    <col min="60" max="61" width="7.08984375" customWidth="1"/>
    <col min="62" max="62" width="6" customWidth="1"/>
    <col min="63" max="63" width="7.54296875" customWidth="1"/>
    <col min="64" max="64" width="7" customWidth="1"/>
    <col min="65" max="65" width="9" customWidth="1"/>
    <col min="66" max="66" width="7.08984375" customWidth="1"/>
  </cols>
  <sheetData>
    <row r="1" spans="1:109" s="1" customFormat="1" ht="15" customHeight="1" thickBot="1" x14ac:dyDescent="0.3">
      <c r="A1" s="117" t="s">
        <v>21</v>
      </c>
      <c r="B1" s="106" t="s">
        <v>24</v>
      </c>
      <c r="C1" s="102" t="s">
        <v>0</v>
      </c>
      <c r="D1" s="103" t="s">
        <v>1</v>
      </c>
      <c r="E1" s="102" t="s">
        <v>2</v>
      </c>
      <c r="F1" s="103" t="s">
        <v>3</v>
      </c>
      <c r="G1" s="104" t="s">
        <v>4</v>
      </c>
      <c r="H1" s="118" t="s">
        <v>5</v>
      </c>
      <c r="I1" s="119"/>
      <c r="J1" s="106" t="s">
        <v>23</v>
      </c>
      <c r="K1" s="102" t="s">
        <v>0</v>
      </c>
      <c r="L1" s="103" t="s">
        <v>1</v>
      </c>
      <c r="M1" s="102" t="s">
        <v>2</v>
      </c>
      <c r="N1" s="103" t="s">
        <v>3</v>
      </c>
      <c r="O1" s="104" t="s">
        <v>4</v>
      </c>
      <c r="P1" s="70" t="s">
        <v>5</v>
      </c>
      <c r="Q1" s="107"/>
      <c r="R1" s="78" t="s">
        <v>22</v>
      </c>
      <c r="S1" s="2" t="s">
        <v>0</v>
      </c>
      <c r="T1" s="3" t="s">
        <v>1</v>
      </c>
      <c r="U1" s="2" t="s">
        <v>2</v>
      </c>
      <c r="V1" s="3" t="s">
        <v>3</v>
      </c>
      <c r="W1" s="4" t="s">
        <v>4</v>
      </c>
      <c r="X1" s="70" t="s">
        <v>5</v>
      </c>
      <c r="Y1" s="78" t="s">
        <v>20</v>
      </c>
      <c r="Z1" s="2" t="s">
        <v>0</v>
      </c>
      <c r="AA1" s="3" t="s">
        <v>1</v>
      </c>
      <c r="AB1" s="2" t="s">
        <v>2</v>
      </c>
      <c r="AC1" s="3" t="s">
        <v>3</v>
      </c>
      <c r="AD1" s="4" t="s">
        <v>4</v>
      </c>
      <c r="AE1" s="70" t="s">
        <v>5</v>
      </c>
      <c r="AF1" s="78" t="s">
        <v>19</v>
      </c>
      <c r="AG1" s="2" t="s">
        <v>0</v>
      </c>
      <c r="AH1" s="3" t="s">
        <v>1</v>
      </c>
      <c r="AI1" s="2" t="s">
        <v>2</v>
      </c>
      <c r="AJ1" s="3" t="s">
        <v>3</v>
      </c>
      <c r="AK1" s="4" t="s">
        <v>4</v>
      </c>
      <c r="AL1" s="70" t="s">
        <v>5</v>
      </c>
      <c r="AM1" s="18" t="s">
        <v>18</v>
      </c>
      <c r="AN1" s="2" t="s">
        <v>0</v>
      </c>
      <c r="AO1" s="3" t="s">
        <v>1</v>
      </c>
      <c r="AP1" s="2" t="s">
        <v>2</v>
      </c>
      <c r="AQ1" s="3" t="s">
        <v>3</v>
      </c>
      <c r="AR1" s="4" t="s">
        <v>4</v>
      </c>
      <c r="AS1" s="5" t="s">
        <v>5</v>
      </c>
      <c r="AT1" s="18" t="s">
        <v>17</v>
      </c>
      <c r="AU1" s="2" t="s">
        <v>0</v>
      </c>
      <c r="AV1" s="3" t="s">
        <v>1</v>
      </c>
      <c r="AW1" s="2" t="s">
        <v>2</v>
      </c>
      <c r="AX1" s="3" t="s">
        <v>3</v>
      </c>
      <c r="AY1" s="2" t="s">
        <v>4</v>
      </c>
      <c r="AZ1" s="6" t="s">
        <v>5</v>
      </c>
      <c r="BA1" s="7" t="s">
        <v>16</v>
      </c>
      <c r="BB1" s="7" t="s">
        <v>0</v>
      </c>
      <c r="BC1" s="8" t="s">
        <v>1</v>
      </c>
      <c r="BD1" s="7" t="s">
        <v>2</v>
      </c>
      <c r="BE1" s="8" t="s">
        <v>3</v>
      </c>
      <c r="BF1" s="9" t="s">
        <v>4</v>
      </c>
      <c r="BG1" s="10" t="s">
        <v>5</v>
      </c>
      <c r="BH1" s="7" t="s">
        <v>15</v>
      </c>
      <c r="BI1" s="7" t="s">
        <v>0</v>
      </c>
      <c r="BJ1" s="8" t="s">
        <v>1</v>
      </c>
      <c r="BK1" s="7" t="s">
        <v>2</v>
      </c>
      <c r="BL1" s="8" t="s">
        <v>3</v>
      </c>
      <c r="BM1" s="9" t="s">
        <v>4</v>
      </c>
      <c r="BN1" s="10" t="s">
        <v>5</v>
      </c>
      <c r="BO1" s="7" t="s">
        <v>6</v>
      </c>
      <c r="BP1" s="7" t="s">
        <v>0</v>
      </c>
      <c r="BQ1" s="8" t="s">
        <v>1</v>
      </c>
      <c r="BR1" s="7" t="s">
        <v>2</v>
      </c>
      <c r="BS1" s="8" t="s">
        <v>3</v>
      </c>
      <c r="BT1" s="9" t="s">
        <v>4</v>
      </c>
      <c r="BU1" s="11" t="s">
        <v>5</v>
      </c>
      <c r="BV1" s="12" t="s">
        <v>7</v>
      </c>
      <c r="BW1" s="13" t="s">
        <v>0</v>
      </c>
      <c r="BX1" s="14" t="s">
        <v>1</v>
      </c>
      <c r="BY1" s="13" t="s">
        <v>2</v>
      </c>
      <c r="BZ1" s="14" t="s">
        <v>3</v>
      </c>
      <c r="CA1" s="9" t="s">
        <v>4</v>
      </c>
      <c r="CB1" s="15" t="s">
        <v>5</v>
      </c>
      <c r="CC1" s="14" t="s">
        <v>8</v>
      </c>
      <c r="CD1" s="14" t="s">
        <v>0</v>
      </c>
      <c r="CE1" s="14" t="s">
        <v>1</v>
      </c>
      <c r="CF1" s="14" t="s">
        <v>2</v>
      </c>
      <c r="CG1" s="14" t="s">
        <v>3</v>
      </c>
      <c r="CH1" s="9" t="s">
        <v>4</v>
      </c>
      <c r="CI1" s="15" t="s">
        <v>5</v>
      </c>
      <c r="CJ1" s="14" t="s">
        <v>9</v>
      </c>
      <c r="CK1" s="14" t="s">
        <v>0</v>
      </c>
      <c r="CL1" s="14" t="s">
        <v>1</v>
      </c>
      <c r="CM1" s="14" t="s">
        <v>2</v>
      </c>
      <c r="CN1" s="14" t="s">
        <v>3</v>
      </c>
      <c r="CO1" s="9" t="s">
        <v>4</v>
      </c>
      <c r="CP1" s="16" t="s">
        <v>5</v>
      </c>
      <c r="CQ1" s="14" t="s">
        <v>10</v>
      </c>
      <c r="CR1" s="9" t="s">
        <v>4</v>
      </c>
      <c r="CS1" s="16" t="s">
        <v>5</v>
      </c>
      <c r="CT1" s="14" t="s">
        <v>11</v>
      </c>
      <c r="CU1" s="9" t="s">
        <v>4</v>
      </c>
      <c r="CV1" s="16" t="s">
        <v>5</v>
      </c>
      <c r="CW1" s="14" t="s">
        <v>12</v>
      </c>
      <c r="CX1" s="9" t="s">
        <v>4</v>
      </c>
      <c r="CY1" s="16" t="s">
        <v>5</v>
      </c>
      <c r="CZ1" s="14" t="s">
        <v>13</v>
      </c>
      <c r="DA1" s="9" t="s">
        <v>4</v>
      </c>
      <c r="DB1" s="16" t="s">
        <v>5</v>
      </c>
      <c r="DC1" s="14" t="s">
        <v>14</v>
      </c>
      <c r="DD1" s="9" t="s">
        <v>4</v>
      </c>
      <c r="DE1" s="17" t="s">
        <v>5</v>
      </c>
    </row>
    <row r="2" spans="1:109" s="1" customFormat="1" ht="13" thickTop="1" x14ac:dyDescent="0.25">
      <c r="A2" s="115" t="s">
        <v>25</v>
      </c>
      <c r="B2" s="122">
        <f>132438+27859</f>
        <v>160297</v>
      </c>
      <c r="C2" s="84">
        <f>114000+25800</f>
        <v>139800</v>
      </c>
      <c r="D2" s="29">
        <f t="shared" ref="D2" si="0">B2-C2</f>
        <v>20497</v>
      </c>
      <c r="E2" s="84">
        <f>94520+10119+22680+1340</f>
        <v>128659</v>
      </c>
      <c r="F2" s="29">
        <f t="shared" ref="F2" si="1">B2-E2</f>
        <v>31638</v>
      </c>
      <c r="G2" s="65">
        <v>27859</v>
      </c>
      <c r="H2" s="116">
        <f t="shared" ref="H2" si="2">B2-G2</f>
        <v>132438</v>
      </c>
      <c r="I2" s="120"/>
      <c r="J2" s="80">
        <f>162055+63340</f>
        <v>225395</v>
      </c>
      <c r="K2" s="89">
        <f>142855+57860</f>
        <v>200715</v>
      </c>
      <c r="L2" s="90">
        <f t="shared" ref="L2" si="3">J2-K2</f>
        <v>24680</v>
      </c>
      <c r="M2" s="89">
        <f>120835+10580+51340+3340</f>
        <v>186095</v>
      </c>
      <c r="N2" s="90">
        <f t="shared" ref="N2" si="4">J2-M2</f>
        <v>39300</v>
      </c>
      <c r="O2" s="105">
        <v>63340</v>
      </c>
      <c r="P2" s="96">
        <f t="shared" ref="P2" si="5">J2-O2</f>
        <v>162055</v>
      </c>
      <c r="Q2" s="108"/>
      <c r="R2" s="80">
        <f>171850+48000</f>
        <v>219850</v>
      </c>
      <c r="S2" s="84">
        <f>146280+47180</f>
        <v>193460</v>
      </c>
      <c r="T2" s="29">
        <f t="shared" ref="T2" si="6">R2-S2</f>
        <v>26390</v>
      </c>
      <c r="U2" s="84">
        <f>118280+12100+43960+580</f>
        <v>174920</v>
      </c>
      <c r="V2" s="29">
        <f t="shared" ref="V2" si="7">R2-U2</f>
        <v>44930</v>
      </c>
      <c r="W2" s="65">
        <v>48000</v>
      </c>
      <c r="X2" s="31">
        <f t="shared" ref="X2" si="8">R2-W2</f>
        <v>171850</v>
      </c>
      <c r="Y2" s="82">
        <v>191560</v>
      </c>
      <c r="Z2" s="28">
        <v>162380</v>
      </c>
      <c r="AA2" s="29">
        <f t="shared" ref="AA2" si="9">Y2-Z2</f>
        <v>29180</v>
      </c>
      <c r="AB2" s="28">
        <v>150300</v>
      </c>
      <c r="AC2" s="29">
        <f t="shared" ref="AC2" si="10">Y2-AB2</f>
        <v>41260</v>
      </c>
      <c r="AD2" s="30">
        <v>21380</v>
      </c>
      <c r="AE2" s="31">
        <f t="shared" ref="AE2" si="11">Y2-AD2</f>
        <v>170180</v>
      </c>
      <c r="AF2" s="79">
        <v>162320</v>
      </c>
      <c r="AG2" s="28">
        <v>134980</v>
      </c>
      <c r="AH2" s="29">
        <f t="shared" ref="AH2:AH7" si="12">AF2-AG2</f>
        <v>27340</v>
      </c>
      <c r="AI2" s="28">
        <f>97280+11980+8420+2420</f>
        <v>120100</v>
      </c>
      <c r="AJ2" s="29">
        <f t="shared" ref="AJ2:AJ7" si="13">AF2-AI2</f>
        <v>42220</v>
      </c>
      <c r="AK2" s="30">
        <v>16620</v>
      </c>
      <c r="AL2" s="31">
        <f t="shared" ref="AL2:AL7" si="14">AF2-AK2</f>
        <v>145700</v>
      </c>
      <c r="AM2" s="64">
        <v>178431</v>
      </c>
      <c r="AN2" s="28">
        <v>156160</v>
      </c>
      <c r="AO2" s="29">
        <f t="shared" ref="AO2:AO33" si="15">AM2-AN2</f>
        <v>22271</v>
      </c>
      <c r="AP2" s="28">
        <v>137320</v>
      </c>
      <c r="AQ2" s="29">
        <f t="shared" ref="AQ2:AQ33" si="16">AM2-AP2</f>
        <v>41111</v>
      </c>
      <c r="AR2" s="30">
        <v>17140</v>
      </c>
      <c r="AS2" s="31">
        <f t="shared" ref="AS2:AS33" si="17">AM2-AR2</f>
        <v>161291</v>
      </c>
      <c r="AT2" s="33">
        <v>165608</v>
      </c>
      <c r="AU2" s="19">
        <v>138918</v>
      </c>
      <c r="AV2" s="20">
        <f t="shared" ref="AV2:AV33" si="18">AT2-AU2</f>
        <v>26690</v>
      </c>
      <c r="AW2" s="19">
        <v>121208</v>
      </c>
      <c r="AX2" s="20">
        <f t="shared" ref="AX2:AX33" si="19">AT2-AW2</f>
        <v>44400</v>
      </c>
      <c r="AY2" s="21">
        <v>18898</v>
      </c>
      <c r="AZ2" s="22">
        <f t="shared" ref="AZ2:AZ33" si="20">AT2-AY2</f>
        <v>146710</v>
      </c>
      <c r="BA2" s="33">
        <v>170046</v>
      </c>
      <c r="BB2" s="19">
        <v>141174</v>
      </c>
      <c r="BC2" s="20">
        <f t="shared" ref="BC2:BC33" si="21">BA2-BB2</f>
        <v>28872</v>
      </c>
      <c r="BD2" s="19">
        <v>125375</v>
      </c>
      <c r="BE2" s="20">
        <f t="shared" ref="BE2:BE33" si="22">BA2-BD2</f>
        <v>44671</v>
      </c>
      <c r="BF2" s="21">
        <v>11240</v>
      </c>
      <c r="BG2" s="22">
        <f t="shared" ref="BG2:BG33" si="23">BA2-BF2</f>
        <v>158806</v>
      </c>
      <c r="BH2" s="33">
        <v>145148</v>
      </c>
      <c r="BI2" s="19">
        <v>123698</v>
      </c>
      <c r="BJ2" s="20">
        <f t="shared" ref="BJ2:BJ33" si="24">BH2-BI2</f>
        <v>21450</v>
      </c>
      <c r="BK2" s="19">
        <v>111560</v>
      </c>
      <c r="BL2" s="20">
        <f t="shared" ref="BL2:BL33" si="25">BH2-BK2</f>
        <v>33588</v>
      </c>
      <c r="BM2" s="21">
        <v>16838</v>
      </c>
      <c r="BN2" s="22">
        <f t="shared" ref="BN2:BN33" si="26">BH2-BM2</f>
        <v>128310</v>
      </c>
      <c r="BO2" s="33">
        <v>148491</v>
      </c>
      <c r="BP2" s="19">
        <v>131220</v>
      </c>
      <c r="BQ2" s="20">
        <f t="shared" ref="BQ2:BQ52" si="27">BO2-BP2</f>
        <v>17271</v>
      </c>
      <c r="BR2" s="19">
        <v>117100</v>
      </c>
      <c r="BS2" s="20">
        <f t="shared" ref="BS2:BS52" si="28">BO2-BR2</f>
        <v>31391</v>
      </c>
      <c r="BT2" s="21">
        <v>14860</v>
      </c>
      <c r="BU2" s="34">
        <f t="shared" ref="BU2:BU52" si="29">BO2-BT2</f>
        <v>133631</v>
      </c>
      <c r="BV2" s="35">
        <v>147165</v>
      </c>
      <c r="BW2" s="36">
        <v>126843</v>
      </c>
      <c r="BX2" s="37">
        <f t="shared" ref="BX2:BX52" si="30">BV2-BW2</f>
        <v>20322</v>
      </c>
      <c r="BY2" s="36">
        <v>106664</v>
      </c>
      <c r="BZ2" s="37">
        <f t="shared" ref="BZ2:BZ52" si="31">BV2-BY2</f>
        <v>40501</v>
      </c>
      <c r="CA2" s="38">
        <v>25302</v>
      </c>
      <c r="CB2" s="39">
        <f t="shared" ref="CB2:CB52" si="32">BV2-CA2</f>
        <v>121863</v>
      </c>
      <c r="CC2" s="37">
        <v>99710</v>
      </c>
      <c r="CD2" s="37">
        <v>78879</v>
      </c>
      <c r="CE2" s="37">
        <f t="shared" ref="CE2:CE51" si="33">CC2-CD2</f>
        <v>20831</v>
      </c>
      <c r="CF2" s="37">
        <v>67319</v>
      </c>
      <c r="CG2" s="37">
        <f t="shared" ref="CG2:CG51" si="34">CC2-CF2</f>
        <v>32391</v>
      </c>
      <c r="CH2" s="40">
        <v>6050</v>
      </c>
      <c r="CI2" s="39">
        <f t="shared" ref="CI2:CI51" si="35">CC2-CH2</f>
        <v>93660</v>
      </c>
      <c r="CJ2" s="37">
        <v>117360</v>
      </c>
      <c r="CK2" s="37">
        <v>100100</v>
      </c>
      <c r="CL2" s="37">
        <f t="shared" ref="CL2:CL18" si="36">CJ2-CK2</f>
        <v>17260</v>
      </c>
      <c r="CM2" s="37">
        <v>83720</v>
      </c>
      <c r="CN2" s="37">
        <f t="shared" ref="CN2:CN18" si="37">CJ2-CM2</f>
        <v>33640</v>
      </c>
      <c r="CO2" s="40">
        <v>14159</v>
      </c>
      <c r="CP2" s="41">
        <f t="shared" ref="CP2:CP52" si="38">CJ2-CO2</f>
        <v>103201</v>
      </c>
      <c r="CQ2" s="37">
        <v>134414</v>
      </c>
      <c r="CR2" s="40">
        <v>17563</v>
      </c>
      <c r="CS2" s="41">
        <f>CQ2-CR2</f>
        <v>116851</v>
      </c>
      <c r="CT2" s="37">
        <v>110049</v>
      </c>
      <c r="CU2" s="40">
        <v>9333</v>
      </c>
      <c r="CV2" s="41">
        <f>CT2-CU2</f>
        <v>100716</v>
      </c>
      <c r="CW2" s="37">
        <v>123891</v>
      </c>
      <c r="CX2" s="40">
        <v>13320</v>
      </c>
      <c r="CY2" s="41">
        <f t="shared" ref="CY2:CY14" si="39">CW2-CX2</f>
        <v>110571</v>
      </c>
      <c r="CZ2" s="37">
        <v>112584</v>
      </c>
      <c r="DA2" s="40">
        <v>7060</v>
      </c>
      <c r="DB2" s="41">
        <f t="shared" ref="DB2:DB14" si="40">CZ2-DA2</f>
        <v>105524</v>
      </c>
      <c r="DC2" s="37">
        <v>106895</v>
      </c>
      <c r="DD2" s="40">
        <v>0</v>
      </c>
      <c r="DE2" s="42">
        <f t="shared" ref="DE2:DE14" si="41">DC2-DD2</f>
        <v>106895</v>
      </c>
    </row>
    <row r="3" spans="1:109" s="1" customFormat="1" ht="12.5" x14ac:dyDescent="0.25">
      <c r="A3" s="112" t="s">
        <v>26</v>
      </c>
      <c r="B3" s="122">
        <f>133398+44780</f>
        <v>178178</v>
      </c>
      <c r="C3" s="84">
        <f>115820+42920</f>
        <v>158740</v>
      </c>
      <c r="D3" s="29">
        <f t="shared" ref="D3" si="42">B3-C3</f>
        <v>19438</v>
      </c>
      <c r="E3" s="84">
        <f>95760+8520+40760+1240</f>
        <v>146280</v>
      </c>
      <c r="F3" s="29">
        <f t="shared" ref="F3" si="43">B3-E3</f>
        <v>31898</v>
      </c>
      <c r="G3" s="65">
        <v>44780</v>
      </c>
      <c r="H3" s="116">
        <f t="shared" ref="H3" si="44">B3-G3</f>
        <v>133398</v>
      </c>
      <c r="I3" s="121"/>
      <c r="J3" s="80">
        <f>170560+75042</f>
        <v>245602</v>
      </c>
      <c r="K3" s="89">
        <f>150220+70720</f>
        <v>220940</v>
      </c>
      <c r="L3" s="90">
        <f t="shared" ref="L3" si="45">J3-K3</f>
        <v>24662</v>
      </c>
      <c r="M3" s="89">
        <f>127720+10260+64460+3100</f>
        <v>205540</v>
      </c>
      <c r="N3" s="90">
        <f t="shared" ref="N3" si="46">J3-M3</f>
        <v>40062</v>
      </c>
      <c r="O3" s="105">
        <v>75042</v>
      </c>
      <c r="P3" s="96">
        <f t="shared" ref="P3" si="47">J3-O3</f>
        <v>170560</v>
      </c>
      <c r="Q3" s="108"/>
      <c r="R3" s="80">
        <f>168681+48440</f>
        <v>217121</v>
      </c>
      <c r="S3" s="84">
        <f>145460+47400</f>
        <v>192860</v>
      </c>
      <c r="T3" s="29">
        <f t="shared" ref="T3" si="48">R3-S3</f>
        <v>24261</v>
      </c>
      <c r="U3" s="84">
        <f>115740+10560+42840+660</f>
        <v>169800</v>
      </c>
      <c r="V3" s="29">
        <f t="shared" ref="V3" si="49">R3-U3</f>
        <v>47321</v>
      </c>
      <c r="W3" s="65">
        <v>48440</v>
      </c>
      <c r="X3" s="31">
        <f t="shared" ref="X3" si="50">R3-W3</f>
        <v>168681</v>
      </c>
      <c r="Y3" s="80">
        <v>193696</v>
      </c>
      <c r="Z3" s="71">
        <v>165860</v>
      </c>
      <c r="AA3" s="29">
        <f t="shared" ref="AA3" si="51">Y3-Z3</f>
        <v>27836</v>
      </c>
      <c r="AB3" s="28">
        <v>149858</v>
      </c>
      <c r="AC3" s="29">
        <f t="shared" ref="AC3" si="52">Y3-AB3</f>
        <v>43838</v>
      </c>
      <c r="AD3" s="30">
        <v>31718</v>
      </c>
      <c r="AE3" s="31">
        <f t="shared" ref="AE3" si="53">Y3-AD3</f>
        <v>161978</v>
      </c>
      <c r="AF3" s="80">
        <v>168210</v>
      </c>
      <c r="AG3" s="71">
        <v>140780</v>
      </c>
      <c r="AH3" s="29">
        <f t="shared" si="12"/>
        <v>27430</v>
      </c>
      <c r="AI3" s="28">
        <f>102240+11150+8060+2820</f>
        <v>124270</v>
      </c>
      <c r="AJ3" s="29">
        <f t="shared" si="13"/>
        <v>43940</v>
      </c>
      <c r="AK3" s="30">
        <v>14880</v>
      </c>
      <c r="AL3" s="31">
        <f t="shared" si="14"/>
        <v>153330</v>
      </c>
      <c r="AM3" s="64">
        <v>175264</v>
      </c>
      <c r="AN3" s="28">
        <v>151200</v>
      </c>
      <c r="AO3" s="29">
        <f t="shared" si="15"/>
        <v>24064</v>
      </c>
      <c r="AP3" s="28">
        <v>136304</v>
      </c>
      <c r="AQ3" s="29">
        <f t="shared" si="16"/>
        <v>38960</v>
      </c>
      <c r="AR3" s="30">
        <v>18330</v>
      </c>
      <c r="AS3" s="31">
        <f t="shared" si="17"/>
        <v>156934</v>
      </c>
      <c r="AT3" s="23">
        <v>161048</v>
      </c>
      <c r="AU3" s="19">
        <v>133999</v>
      </c>
      <c r="AV3" s="20">
        <f t="shared" si="18"/>
        <v>27049</v>
      </c>
      <c r="AW3" s="19">
        <v>117929</v>
      </c>
      <c r="AX3" s="20">
        <f t="shared" si="19"/>
        <v>43119</v>
      </c>
      <c r="AY3" s="21">
        <v>14280</v>
      </c>
      <c r="AZ3" s="22">
        <f t="shared" si="20"/>
        <v>146768</v>
      </c>
      <c r="BA3" s="23">
        <v>165476</v>
      </c>
      <c r="BB3" s="19">
        <v>138297</v>
      </c>
      <c r="BC3" s="20">
        <f t="shared" si="21"/>
        <v>27179</v>
      </c>
      <c r="BD3" s="19">
        <v>121137</v>
      </c>
      <c r="BE3" s="20">
        <f t="shared" si="22"/>
        <v>44339</v>
      </c>
      <c r="BF3" s="21">
        <v>9000</v>
      </c>
      <c r="BG3" s="22">
        <f t="shared" si="23"/>
        <v>156476</v>
      </c>
      <c r="BH3" s="23">
        <v>140125</v>
      </c>
      <c r="BI3" s="19">
        <v>120085</v>
      </c>
      <c r="BJ3" s="20">
        <f t="shared" si="24"/>
        <v>20040</v>
      </c>
      <c r="BK3" s="19">
        <v>108225</v>
      </c>
      <c r="BL3" s="20">
        <f t="shared" si="25"/>
        <v>31900</v>
      </c>
      <c r="BM3" s="21">
        <v>14165</v>
      </c>
      <c r="BN3" s="22">
        <f t="shared" si="26"/>
        <v>125960</v>
      </c>
      <c r="BO3" s="23">
        <v>139820</v>
      </c>
      <c r="BP3" s="19">
        <v>123020</v>
      </c>
      <c r="BQ3" s="20">
        <f t="shared" si="27"/>
        <v>16800</v>
      </c>
      <c r="BR3" s="19">
        <v>108060</v>
      </c>
      <c r="BS3" s="20">
        <f t="shared" si="28"/>
        <v>31760</v>
      </c>
      <c r="BT3" s="21">
        <v>8720</v>
      </c>
      <c r="BU3" s="34">
        <f t="shared" si="29"/>
        <v>131100</v>
      </c>
      <c r="BV3" s="35">
        <v>144311</v>
      </c>
      <c r="BW3" s="36">
        <v>123015</v>
      </c>
      <c r="BX3" s="37">
        <f t="shared" si="30"/>
        <v>21296</v>
      </c>
      <c r="BY3" s="36">
        <v>102630</v>
      </c>
      <c r="BZ3" s="37">
        <f t="shared" si="31"/>
        <v>41681</v>
      </c>
      <c r="CA3" s="38">
        <v>26001</v>
      </c>
      <c r="CB3" s="39">
        <f t="shared" si="32"/>
        <v>118310</v>
      </c>
      <c r="CC3" s="37">
        <v>103466</v>
      </c>
      <c r="CD3" s="37">
        <v>81020</v>
      </c>
      <c r="CE3" s="37">
        <f t="shared" si="33"/>
        <v>22446</v>
      </c>
      <c r="CF3" s="37">
        <v>67344</v>
      </c>
      <c r="CG3" s="37">
        <f t="shared" si="34"/>
        <v>36122</v>
      </c>
      <c r="CH3" s="40">
        <v>4842</v>
      </c>
      <c r="CI3" s="39">
        <f t="shared" si="35"/>
        <v>98624</v>
      </c>
      <c r="CJ3" s="37">
        <v>117457</v>
      </c>
      <c r="CK3" s="37">
        <v>97579</v>
      </c>
      <c r="CL3" s="37">
        <f t="shared" si="36"/>
        <v>19878</v>
      </c>
      <c r="CM3" s="37">
        <v>84040</v>
      </c>
      <c r="CN3" s="37">
        <f t="shared" si="37"/>
        <v>33417</v>
      </c>
      <c r="CO3" s="40">
        <v>15137</v>
      </c>
      <c r="CP3" s="41">
        <f t="shared" si="38"/>
        <v>102320</v>
      </c>
      <c r="CQ3" s="37">
        <v>122895</v>
      </c>
      <c r="CR3" s="40">
        <v>11978</v>
      </c>
      <c r="CS3" s="41">
        <f t="shared" ref="CS3:CS52" si="54">CQ3-CR3</f>
        <v>110917</v>
      </c>
      <c r="CT3" s="37">
        <v>111580</v>
      </c>
      <c r="CU3" s="40">
        <v>6540</v>
      </c>
      <c r="CV3" s="41">
        <f t="shared" ref="CV3:CV51" si="55">CT3-CU3</f>
        <v>105040</v>
      </c>
      <c r="CW3" s="37">
        <v>115308</v>
      </c>
      <c r="CX3" s="40">
        <v>5640</v>
      </c>
      <c r="CY3" s="41">
        <f t="shared" si="39"/>
        <v>109668</v>
      </c>
      <c r="CZ3" s="37">
        <v>102935</v>
      </c>
      <c r="DA3" s="40">
        <v>3360</v>
      </c>
      <c r="DB3" s="41">
        <f t="shared" si="40"/>
        <v>99575</v>
      </c>
      <c r="DC3" s="37">
        <v>94581</v>
      </c>
      <c r="DD3" s="40">
        <v>4320</v>
      </c>
      <c r="DE3" s="42">
        <f t="shared" si="41"/>
        <v>90261</v>
      </c>
    </row>
    <row r="4" spans="1:109" s="1" customFormat="1" ht="12.5" x14ac:dyDescent="0.25">
      <c r="A4" s="112" t="s">
        <v>27</v>
      </c>
      <c r="B4" s="122">
        <f>146578+29000</f>
        <v>175578</v>
      </c>
      <c r="C4" s="84">
        <f>127500+27720</f>
        <v>155220</v>
      </c>
      <c r="D4" s="29">
        <f t="shared" ref="D4" si="56">B4-C4</f>
        <v>20358</v>
      </c>
      <c r="E4" s="84">
        <f>104800+10540+25160+980</f>
        <v>141480</v>
      </c>
      <c r="F4" s="29">
        <f t="shared" ref="F4" si="57">B4-E4</f>
        <v>34098</v>
      </c>
      <c r="G4" s="65">
        <v>29000</v>
      </c>
      <c r="H4" s="116">
        <f t="shared" ref="H4" si="58">B4-G4</f>
        <v>146578</v>
      </c>
      <c r="I4" s="121"/>
      <c r="J4" s="80">
        <f>171260+104840</f>
        <v>276100</v>
      </c>
      <c r="K4" s="89">
        <f>151040+101840</f>
        <v>252880</v>
      </c>
      <c r="L4" s="90">
        <f t="shared" ref="L4" si="59">J4-K4</f>
        <v>23220</v>
      </c>
      <c r="M4" s="89">
        <f>127100+10820+96440+1900</f>
        <v>236260</v>
      </c>
      <c r="N4" s="90">
        <f t="shared" ref="N4" si="60">J4-M4</f>
        <v>39840</v>
      </c>
      <c r="O4" s="105">
        <v>104840</v>
      </c>
      <c r="P4" s="96">
        <f t="shared" ref="P4" si="61">J4-O4</f>
        <v>171260</v>
      </c>
      <c r="Q4" s="108"/>
      <c r="R4" s="80">
        <f>181130+52760</f>
        <v>233890</v>
      </c>
      <c r="S4" s="84">
        <f>156830+51120</f>
        <v>207950</v>
      </c>
      <c r="T4" s="29">
        <f t="shared" ref="T4" si="62">R4-S4</f>
        <v>25940</v>
      </c>
      <c r="U4" s="84">
        <f>127210+10460+44960+640</f>
        <v>183270</v>
      </c>
      <c r="V4" s="29">
        <f t="shared" ref="V4" si="63">R4-U4</f>
        <v>50620</v>
      </c>
      <c r="W4" s="65">
        <v>52760</v>
      </c>
      <c r="X4" s="31">
        <f t="shared" ref="X4" si="64">R4-W4</f>
        <v>181130</v>
      </c>
      <c r="Y4" s="83">
        <v>194009</v>
      </c>
      <c r="Z4" s="28">
        <v>165070</v>
      </c>
      <c r="AA4" s="29">
        <f t="shared" ref="AA4" si="65">Y4-Z4</f>
        <v>28939</v>
      </c>
      <c r="AB4" s="28">
        <v>151820</v>
      </c>
      <c r="AC4" s="29">
        <f t="shared" ref="AC4" si="66">Y4-AB4</f>
        <v>42189</v>
      </c>
      <c r="AD4" s="30">
        <v>21409</v>
      </c>
      <c r="AE4" s="31">
        <f t="shared" ref="AE4" si="67">Y4-AD4</f>
        <v>172600</v>
      </c>
      <c r="AF4" s="80">
        <f>142849+13840</f>
        <v>156689</v>
      </c>
      <c r="AG4" s="71">
        <v>131540</v>
      </c>
      <c r="AH4" s="29">
        <f t="shared" si="12"/>
        <v>25149</v>
      </c>
      <c r="AI4" s="28">
        <f>97920+10049+6320+3960</f>
        <v>118249</v>
      </c>
      <c r="AJ4" s="29">
        <f t="shared" si="13"/>
        <v>38440</v>
      </c>
      <c r="AK4" s="30">
        <v>13840</v>
      </c>
      <c r="AL4" s="31">
        <f t="shared" si="14"/>
        <v>142849</v>
      </c>
      <c r="AM4" s="64">
        <v>173200</v>
      </c>
      <c r="AN4" s="28">
        <v>150380</v>
      </c>
      <c r="AO4" s="29">
        <f t="shared" si="15"/>
        <v>22820</v>
      </c>
      <c r="AP4" s="28">
        <v>136580</v>
      </c>
      <c r="AQ4" s="29">
        <f t="shared" si="16"/>
        <v>36620</v>
      </c>
      <c r="AR4" s="30">
        <v>13960</v>
      </c>
      <c r="AS4" s="31">
        <f t="shared" si="17"/>
        <v>159240</v>
      </c>
      <c r="AT4" s="23">
        <v>187639</v>
      </c>
      <c r="AU4" s="19">
        <v>150620</v>
      </c>
      <c r="AV4" s="20">
        <f t="shared" si="18"/>
        <v>37019</v>
      </c>
      <c r="AW4" s="19">
        <v>139900</v>
      </c>
      <c r="AX4" s="20">
        <f t="shared" si="19"/>
        <v>47739</v>
      </c>
      <c r="AY4" s="21">
        <v>11960</v>
      </c>
      <c r="AZ4" s="22">
        <f t="shared" si="20"/>
        <v>175679</v>
      </c>
      <c r="BA4" s="23">
        <v>179439</v>
      </c>
      <c r="BB4" s="19">
        <v>142620</v>
      </c>
      <c r="BC4" s="20">
        <f t="shared" si="21"/>
        <v>36819</v>
      </c>
      <c r="BD4" s="19">
        <v>132260</v>
      </c>
      <c r="BE4" s="20">
        <f t="shared" si="22"/>
        <v>47179</v>
      </c>
      <c r="BF4" s="21">
        <v>5100</v>
      </c>
      <c r="BG4" s="22">
        <f t="shared" si="23"/>
        <v>174339</v>
      </c>
      <c r="BH4" s="23">
        <v>145014</v>
      </c>
      <c r="BI4" s="19">
        <v>120239</v>
      </c>
      <c r="BJ4" s="20">
        <f t="shared" si="24"/>
        <v>24775</v>
      </c>
      <c r="BK4" s="19">
        <v>109160</v>
      </c>
      <c r="BL4" s="20">
        <f t="shared" si="25"/>
        <v>35854</v>
      </c>
      <c r="BM4" s="21">
        <v>8120</v>
      </c>
      <c r="BN4" s="22">
        <f t="shared" si="26"/>
        <v>136894</v>
      </c>
      <c r="BO4" s="23">
        <v>159276</v>
      </c>
      <c r="BP4" s="24">
        <v>139636</v>
      </c>
      <c r="BQ4" s="20">
        <f t="shared" si="27"/>
        <v>19640</v>
      </c>
      <c r="BR4" s="24">
        <v>125316</v>
      </c>
      <c r="BS4" s="20">
        <f t="shared" si="28"/>
        <v>33960</v>
      </c>
      <c r="BT4" s="21">
        <v>6320</v>
      </c>
      <c r="BU4" s="34">
        <f t="shared" si="29"/>
        <v>152956</v>
      </c>
      <c r="BV4" s="35">
        <v>154710</v>
      </c>
      <c r="BW4" s="36">
        <v>126920</v>
      </c>
      <c r="BX4" s="37">
        <f t="shared" si="30"/>
        <v>27790</v>
      </c>
      <c r="BY4" s="36">
        <v>110770</v>
      </c>
      <c r="BZ4" s="37">
        <f t="shared" si="31"/>
        <v>43940</v>
      </c>
      <c r="CA4" s="38">
        <v>19660</v>
      </c>
      <c r="CB4" s="39">
        <f t="shared" si="32"/>
        <v>135050</v>
      </c>
      <c r="CC4" s="37">
        <v>136808</v>
      </c>
      <c r="CD4" s="37">
        <v>109773</v>
      </c>
      <c r="CE4" s="37">
        <f t="shared" si="33"/>
        <v>27035</v>
      </c>
      <c r="CF4" s="37">
        <v>93481</v>
      </c>
      <c r="CG4" s="37">
        <f t="shared" si="34"/>
        <v>43327</v>
      </c>
      <c r="CH4" s="40">
        <v>11624</v>
      </c>
      <c r="CI4" s="39">
        <f t="shared" si="35"/>
        <v>125184</v>
      </c>
      <c r="CJ4" s="37">
        <v>118579</v>
      </c>
      <c r="CK4" s="37">
        <v>98220</v>
      </c>
      <c r="CL4" s="37">
        <f t="shared" si="36"/>
        <v>20359</v>
      </c>
      <c r="CM4" s="37">
        <v>84800</v>
      </c>
      <c r="CN4" s="37">
        <f t="shared" si="37"/>
        <v>33779</v>
      </c>
      <c r="CO4" s="40">
        <v>6460</v>
      </c>
      <c r="CP4" s="41">
        <f t="shared" si="38"/>
        <v>112119</v>
      </c>
      <c r="CQ4" s="37">
        <v>145391</v>
      </c>
      <c r="CR4" s="40">
        <v>11340</v>
      </c>
      <c r="CS4" s="41">
        <f t="shared" si="54"/>
        <v>134051</v>
      </c>
      <c r="CT4" s="37">
        <v>140344</v>
      </c>
      <c r="CU4" s="40">
        <v>14000</v>
      </c>
      <c r="CV4" s="41">
        <f t="shared" si="55"/>
        <v>126344</v>
      </c>
      <c r="CW4" s="37">
        <v>137105</v>
      </c>
      <c r="CX4" s="40">
        <v>5300</v>
      </c>
      <c r="CY4" s="41">
        <f t="shared" si="39"/>
        <v>131805</v>
      </c>
      <c r="CZ4" s="37">
        <v>113293</v>
      </c>
      <c r="DA4" s="40">
        <v>4040</v>
      </c>
      <c r="DB4" s="41">
        <f t="shared" si="40"/>
        <v>109253</v>
      </c>
      <c r="DC4" s="37">
        <v>91934</v>
      </c>
      <c r="DD4" s="40">
        <v>1770</v>
      </c>
      <c r="DE4" s="42">
        <f t="shared" si="41"/>
        <v>90164</v>
      </c>
    </row>
    <row r="5" spans="1:109" s="1" customFormat="1" ht="12.5" x14ac:dyDescent="0.25">
      <c r="A5" s="112" t="s">
        <v>28</v>
      </c>
      <c r="B5" s="122">
        <f>186339+18940</f>
        <v>205279</v>
      </c>
      <c r="C5" s="84">
        <f>159700+17800</f>
        <v>177500</v>
      </c>
      <c r="D5" s="29">
        <f t="shared" ref="D5" si="68">B5-C5</f>
        <v>27779</v>
      </c>
      <c r="E5" s="84">
        <f>131360+14640+15040+1100</f>
        <v>162140</v>
      </c>
      <c r="F5" s="29">
        <f t="shared" ref="F5" si="69">B5-E5</f>
        <v>43139</v>
      </c>
      <c r="G5" s="65">
        <v>18940</v>
      </c>
      <c r="H5" s="116">
        <f t="shared" ref="H5" si="70">B5-G5</f>
        <v>186339</v>
      </c>
      <c r="I5" s="121"/>
      <c r="J5" s="80">
        <f>197559+106360</f>
        <v>303919</v>
      </c>
      <c r="K5" s="89">
        <f>167820+102060</f>
        <v>269880</v>
      </c>
      <c r="L5" s="90">
        <f t="shared" ref="L5" si="71">J5-K5</f>
        <v>34039</v>
      </c>
      <c r="M5" s="89">
        <f>138340+16459+96080+3480</f>
        <v>254359</v>
      </c>
      <c r="N5" s="90">
        <f t="shared" ref="N5" si="72">J5-M5</f>
        <v>49560</v>
      </c>
      <c r="O5" s="105">
        <v>106360</v>
      </c>
      <c r="P5" s="96">
        <f t="shared" ref="P5" si="73">J5-O5</f>
        <v>197559</v>
      </c>
      <c r="Q5" s="108"/>
      <c r="R5" s="80">
        <f>195340+43660</f>
        <v>239000</v>
      </c>
      <c r="S5" s="84">
        <f>164760+41880</f>
        <v>206640</v>
      </c>
      <c r="T5" s="29">
        <f t="shared" ref="T5" si="74">R5-S5</f>
        <v>32360</v>
      </c>
      <c r="U5" s="84">
        <f>132960+16600+36400+800</f>
        <v>186760</v>
      </c>
      <c r="V5" s="29">
        <f t="shared" ref="V5" si="75">R5-U5</f>
        <v>52240</v>
      </c>
      <c r="W5" s="65">
        <v>43660</v>
      </c>
      <c r="X5" s="31">
        <f t="shared" ref="X5" si="76">R5-W5</f>
        <v>195340</v>
      </c>
      <c r="Y5" s="83">
        <v>217006</v>
      </c>
      <c r="Z5" s="28">
        <v>177446</v>
      </c>
      <c r="AA5" s="29">
        <f t="shared" ref="AA5" si="77">Y5-Z5</f>
        <v>39560</v>
      </c>
      <c r="AB5" s="28">
        <v>166486</v>
      </c>
      <c r="AC5" s="29">
        <f t="shared" ref="AC5" si="78">Y5-AB5</f>
        <v>50520</v>
      </c>
      <c r="AD5" s="30">
        <v>22840</v>
      </c>
      <c r="AE5" s="31">
        <f t="shared" ref="AE5" si="79">Y5-AD5</f>
        <v>194166</v>
      </c>
      <c r="AF5" s="80">
        <v>205600</v>
      </c>
      <c r="AG5" s="71">
        <v>170099</v>
      </c>
      <c r="AH5" s="29">
        <f t="shared" si="12"/>
        <v>35501</v>
      </c>
      <c r="AI5" s="28">
        <f>130540+18660+6120+1340</f>
        <v>156660</v>
      </c>
      <c r="AJ5" s="29">
        <f t="shared" si="13"/>
        <v>48940</v>
      </c>
      <c r="AK5" s="30">
        <v>11940</v>
      </c>
      <c r="AL5" s="31">
        <f t="shared" si="14"/>
        <v>193660</v>
      </c>
      <c r="AM5" s="64">
        <v>212779</v>
      </c>
      <c r="AN5" s="28">
        <v>177220</v>
      </c>
      <c r="AO5" s="29">
        <f t="shared" si="15"/>
        <v>35559</v>
      </c>
      <c r="AP5" s="28">
        <v>162700</v>
      </c>
      <c r="AQ5" s="29">
        <f t="shared" si="16"/>
        <v>50079</v>
      </c>
      <c r="AR5" s="30">
        <v>16900</v>
      </c>
      <c r="AS5" s="31">
        <f t="shared" si="17"/>
        <v>195879</v>
      </c>
      <c r="AT5" s="23">
        <v>193693</v>
      </c>
      <c r="AU5" s="19">
        <v>160835</v>
      </c>
      <c r="AV5" s="20">
        <f t="shared" si="18"/>
        <v>32858</v>
      </c>
      <c r="AW5" s="19">
        <v>145880</v>
      </c>
      <c r="AX5" s="20">
        <f t="shared" si="19"/>
        <v>47813</v>
      </c>
      <c r="AY5" s="21">
        <v>16640</v>
      </c>
      <c r="AZ5" s="22">
        <f t="shared" si="20"/>
        <v>177053</v>
      </c>
      <c r="BA5" s="23">
        <v>168677</v>
      </c>
      <c r="BB5" s="19">
        <v>140560</v>
      </c>
      <c r="BC5" s="20">
        <f t="shared" si="21"/>
        <v>28117</v>
      </c>
      <c r="BD5" s="19">
        <v>126520</v>
      </c>
      <c r="BE5" s="20">
        <f t="shared" si="22"/>
        <v>42157</v>
      </c>
      <c r="BF5" s="21">
        <v>7640</v>
      </c>
      <c r="BG5" s="22">
        <f t="shared" si="23"/>
        <v>161037</v>
      </c>
      <c r="BH5" s="23">
        <v>138097</v>
      </c>
      <c r="BI5" s="19">
        <v>115140</v>
      </c>
      <c r="BJ5" s="20">
        <f t="shared" si="24"/>
        <v>22957</v>
      </c>
      <c r="BK5" s="19">
        <v>105100</v>
      </c>
      <c r="BL5" s="20">
        <f t="shared" si="25"/>
        <v>32997</v>
      </c>
      <c r="BM5" s="21">
        <v>13078</v>
      </c>
      <c r="BN5" s="22">
        <f t="shared" si="26"/>
        <v>125019</v>
      </c>
      <c r="BO5" s="23">
        <v>188659</v>
      </c>
      <c r="BP5" s="24">
        <v>162580</v>
      </c>
      <c r="BQ5" s="20">
        <f t="shared" si="27"/>
        <v>26079</v>
      </c>
      <c r="BR5" s="24">
        <v>148560</v>
      </c>
      <c r="BS5" s="20">
        <f t="shared" si="28"/>
        <v>40099</v>
      </c>
      <c r="BT5" s="21">
        <v>20780</v>
      </c>
      <c r="BU5" s="34">
        <f t="shared" si="29"/>
        <v>167879</v>
      </c>
      <c r="BV5" s="35">
        <v>139364</v>
      </c>
      <c r="BW5" s="36">
        <v>117850</v>
      </c>
      <c r="BX5" s="37">
        <f t="shared" si="30"/>
        <v>21514</v>
      </c>
      <c r="BY5" s="36">
        <v>102569</v>
      </c>
      <c r="BZ5" s="37">
        <f t="shared" si="31"/>
        <v>36795</v>
      </c>
      <c r="CA5" s="38">
        <v>11024</v>
      </c>
      <c r="CB5" s="39">
        <f t="shared" si="32"/>
        <v>128340</v>
      </c>
      <c r="CC5" s="37">
        <v>128878</v>
      </c>
      <c r="CD5" s="37">
        <v>107699</v>
      </c>
      <c r="CE5" s="37">
        <f t="shared" si="33"/>
        <v>21179</v>
      </c>
      <c r="CF5" s="37">
        <v>93030</v>
      </c>
      <c r="CG5" s="37">
        <f t="shared" si="34"/>
        <v>35848</v>
      </c>
      <c r="CH5" s="40">
        <v>3838</v>
      </c>
      <c r="CI5" s="39">
        <f t="shared" si="35"/>
        <v>125040</v>
      </c>
      <c r="CJ5" s="37">
        <v>145370</v>
      </c>
      <c r="CK5" s="37">
        <v>119379</v>
      </c>
      <c r="CL5" s="37">
        <f t="shared" si="36"/>
        <v>25991</v>
      </c>
      <c r="CM5" s="37">
        <v>102712</v>
      </c>
      <c r="CN5" s="37">
        <f t="shared" si="37"/>
        <v>42658</v>
      </c>
      <c r="CO5" s="40">
        <v>11899</v>
      </c>
      <c r="CP5" s="41">
        <f t="shared" si="38"/>
        <v>133471</v>
      </c>
      <c r="CQ5" s="37">
        <v>148370</v>
      </c>
      <c r="CR5" s="40">
        <v>11686</v>
      </c>
      <c r="CS5" s="41">
        <f t="shared" si="54"/>
        <v>136684</v>
      </c>
      <c r="CT5" s="37">
        <v>118193</v>
      </c>
      <c r="CU5" s="40">
        <v>2894</v>
      </c>
      <c r="CV5" s="41">
        <f t="shared" si="55"/>
        <v>115299</v>
      </c>
      <c r="CW5" s="37">
        <v>136391</v>
      </c>
      <c r="CX5" s="40">
        <v>13538</v>
      </c>
      <c r="CY5" s="41">
        <f t="shared" si="39"/>
        <v>122853</v>
      </c>
      <c r="CZ5" s="37">
        <v>107500</v>
      </c>
      <c r="DA5" s="40">
        <v>2940</v>
      </c>
      <c r="DB5" s="41">
        <f t="shared" si="40"/>
        <v>104560</v>
      </c>
      <c r="DC5" s="37">
        <v>94454</v>
      </c>
      <c r="DD5" s="40">
        <v>2963</v>
      </c>
      <c r="DE5" s="42">
        <f t="shared" si="41"/>
        <v>91491</v>
      </c>
    </row>
    <row r="6" spans="1:109" s="1" customFormat="1" ht="12.5" x14ac:dyDescent="0.25">
      <c r="A6" s="112" t="s">
        <v>75</v>
      </c>
      <c r="B6" s="122">
        <f>184439+25558</f>
        <v>209997</v>
      </c>
      <c r="C6" s="84">
        <f>160279+24520</f>
        <v>184799</v>
      </c>
      <c r="D6" s="29">
        <f t="shared" ref="D6" si="80">B6-C6</f>
        <v>25198</v>
      </c>
      <c r="E6" s="84">
        <f>131200+12080+22120+840</f>
        <v>166240</v>
      </c>
      <c r="F6" s="29">
        <f t="shared" ref="F6" si="81">B6-E6</f>
        <v>43757</v>
      </c>
      <c r="G6" s="65">
        <v>25558</v>
      </c>
      <c r="H6" s="116">
        <f t="shared" ref="H6" si="82">B6-G6</f>
        <v>184439</v>
      </c>
      <c r="I6" s="121"/>
      <c r="J6" s="80">
        <f>188459+101840</f>
        <v>290299</v>
      </c>
      <c r="K6" s="89">
        <f>164140+96620</f>
        <v>260760</v>
      </c>
      <c r="L6" s="90">
        <f t="shared" ref="L6" si="83">J6-K6</f>
        <v>29539</v>
      </c>
      <c r="M6" s="89">
        <f>136960+14260+91340+3080</f>
        <v>245640</v>
      </c>
      <c r="N6" s="90">
        <f t="shared" ref="N6" si="84">J6-M6</f>
        <v>44659</v>
      </c>
      <c r="O6" s="105">
        <v>101840</v>
      </c>
      <c r="P6" s="96">
        <f t="shared" ref="P6" si="85">J6-O6</f>
        <v>188459</v>
      </c>
      <c r="Q6" s="108"/>
      <c r="R6" s="80">
        <f>178880+47800</f>
        <v>226680</v>
      </c>
      <c r="S6" s="84">
        <f>154500+45680</f>
        <v>200180</v>
      </c>
      <c r="T6" s="29">
        <f t="shared" ref="T6" si="86">R6-S6</f>
        <v>26500</v>
      </c>
      <c r="U6" s="84">
        <f>127320+12400+40040+1060</f>
        <v>180820</v>
      </c>
      <c r="V6" s="29">
        <f t="shared" ref="V6" si="87">R6-U6</f>
        <v>45860</v>
      </c>
      <c r="W6" s="65">
        <v>47800</v>
      </c>
      <c r="X6" s="31">
        <f t="shared" ref="X6" si="88">R6-W6</f>
        <v>178880</v>
      </c>
      <c r="Y6" s="83">
        <v>194209</v>
      </c>
      <c r="Z6" s="28">
        <v>165460</v>
      </c>
      <c r="AA6" s="29">
        <f t="shared" ref="AA6" si="89">Y6-Z6</f>
        <v>28749</v>
      </c>
      <c r="AB6" s="28">
        <v>152538</v>
      </c>
      <c r="AC6" s="29">
        <f t="shared" ref="AC6" si="90">Y6-AB6</f>
        <v>41671</v>
      </c>
      <c r="AD6" s="30">
        <v>23338</v>
      </c>
      <c r="AE6" s="31">
        <f t="shared" ref="AE6" si="91">Y6-AD6</f>
        <v>170871</v>
      </c>
      <c r="AF6" s="80">
        <v>206528</v>
      </c>
      <c r="AG6" s="71">
        <v>174980</v>
      </c>
      <c r="AH6" s="29">
        <f t="shared" si="12"/>
        <v>31548</v>
      </c>
      <c r="AI6" s="28">
        <f>136780+15610+8240+1000</f>
        <v>161630</v>
      </c>
      <c r="AJ6" s="29">
        <f t="shared" si="13"/>
        <v>44898</v>
      </c>
      <c r="AK6" s="30">
        <v>12680</v>
      </c>
      <c r="AL6" s="31">
        <f t="shared" si="14"/>
        <v>193848</v>
      </c>
      <c r="AM6" s="64">
        <v>212580</v>
      </c>
      <c r="AN6" s="28">
        <v>178760</v>
      </c>
      <c r="AO6" s="29">
        <f t="shared" si="15"/>
        <v>33820</v>
      </c>
      <c r="AP6" s="28">
        <v>164100</v>
      </c>
      <c r="AQ6" s="29">
        <f t="shared" si="16"/>
        <v>48480</v>
      </c>
      <c r="AR6" s="30">
        <v>20280</v>
      </c>
      <c r="AS6" s="31">
        <f t="shared" si="17"/>
        <v>192300</v>
      </c>
      <c r="AT6" s="23">
        <v>192328</v>
      </c>
      <c r="AU6" s="19">
        <v>160500</v>
      </c>
      <c r="AV6" s="20">
        <f t="shared" si="18"/>
        <v>31828</v>
      </c>
      <c r="AW6" s="19">
        <v>144030</v>
      </c>
      <c r="AX6" s="20">
        <f t="shared" si="19"/>
        <v>48298</v>
      </c>
      <c r="AY6" s="21">
        <v>16879</v>
      </c>
      <c r="AZ6" s="22">
        <f t="shared" si="20"/>
        <v>175449</v>
      </c>
      <c r="BA6" s="23">
        <v>162534</v>
      </c>
      <c r="BB6" s="19">
        <v>134774</v>
      </c>
      <c r="BC6" s="20">
        <f t="shared" si="21"/>
        <v>27760</v>
      </c>
      <c r="BD6" s="19">
        <v>119994</v>
      </c>
      <c r="BE6" s="20">
        <f t="shared" si="22"/>
        <v>42540</v>
      </c>
      <c r="BF6" s="21">
        <v>11140</v>
      </c>
      <c r="BG6" s="22">
        <f t="shared" si="23"/>
        <v>151394</v>
      </c>
      <c r="BH6" s="23">
        <v>124938</v>
      </c>
      <c r="BI6" s="19">
        <v>104278</v>
      </c>
      <c r="BJ6" s="20">
        <f t="shared" si="24"/>
        <v>20660</v>
      </c>
      <c r="BK6" s="19">
        <v>94458</v>
      </c>
      <c r="BL6" s="20">
        <f t="shared" si="25"/>
        <v>30480</v>
      </c>
      <c r="BM6" s="21">
        <v>7618</v>
      </c>
      <c r="BN6" s="22">
        <f t="shared" si="26"/>
        <v>117320</v>
      </c>
      <c r="BO6" s="23">
        <v>159398</v>
      </c>
      <c r="BP6" s="24">
        <v>139020</v>
      </c>
      <c r="BQ6" s="20">
        <f t="shared" si="27"/>
        <v>20378</v>
      </c>
      <c r="BR6" s="24">
        <v>121140</v>
      </c>
      <c r="BS6" s="20">
        <f t="shared" si="28"/>
        <v>38258</v>
      </c>
      <c r="BT6" s="21">
        <v>7940</v>
      </c>
      <c r="BU6" s="34">
        <f t="shared" si="29"/>
        <v>151458</v>
      </c>
      <c r="BV6" s="35">
        <v>138215</v>
      </c>
      <c r="BW6" s="36">
        <v>116362</v>
      </c>
      <c r="BX6" s="37">
        <f t="shared" si="30"/>
        <v>21853</v>
      </c>
      <c r="BY6" s="36">
        <v>103040</v>
      </c>
      <c r="BZ6" s="37">
        <f t="shared" si="31"/>
        <v>35175</v>
      </c>
      <c r="CA6" s="38">
        <v>8320</v>
      </c>
      <c r="CB6" s="39">
        <f t="shared" si="32"/>
        <v>129895</v>
      </c>
      <c r="CC6" s="37">
        <v>125207</v>
      </c>
      <c r="CD6" s="37">
        <v>102840</v>
      </c>
      <c r="CE6" s="37">
        <f t="shared" si="33"/>
        <v>22367</v>
      </c>
      <c r="CF6" s="37">
        <v>89550</v>
      </c>
      <c r="CG6" s="37">
        <f t="shared" si="34"/>
        <v>35657</v>
      </c>
      <c r="CH6" s="40">
        <v>3740</v>
      </c>
      <c r="CI6" s="39">
        <f t="shared" si="35"/>
        <v>121467</v>
      </c>
      <c r="CJ6" s="37">
        <v>129240</v>
      </c>
      <c r="CK6" s="37">
        <v>110360</v>
      </c>
      <c r="CL6" s="37">
        <f t="shared" si="36"/>
        <v>18880</v>
      </c>
      <c r="CM6" s="37">
        <v>95180</v>
      </c>
      <c r="CN6" s="37">
        <f t="shared" si="37"/>
        <v>34060</v>
      </c>
      <c r="CO6" s="40">
        <v>12200</v>
      </c>
      <c r="CP6" s="41">
        <f t="shared" si="38"/>
        <v>117040</v>
      </c>
      <c r="CQ6" s="37">
        <v>128876</v>
      </c>
      <c r="CR6" s="40">
        <v>8079</v>
      </c>
      <c r="CS6" s="41">
        <f t="shared" si="54"/>
        <v>120797</v>
      </c>
      <c r="CT6" s="37">
        <v>109142</v>
      </c>
      <c r="CU6" s="40">
        <v>1940</v>
      </c>
      <c r="CV6" s="41">
        <f t="shared" si="55"/>
        <v>107202</v>
      </c>
      <c r="CW6" s="37">
        <v>137936</v>
      </c>
      <c r="CX6" s="40">
        <v>11598</v>
      </c>
      <c r="CY6" s="41">
        <f t="shared" si="39"/>
        <v>126338</v>
      </c>
      <c r="CZ6" s="37">
        <v>102487</v>
      </c>
      <c r="DA6" s="40">
        <v>4736</v>
      </c>
      <c r="DB6" s="41">
        <f t="shared" si="40"/>
        <v>97751</v>
      </c>
      <c r="DC6" s="37">
        <v>102168</v>
      </c>
      <c r="DD6" s="40">
        <v>740</v>
      </c>
      <c r="DE6" s="42">
        <f t="shared" si="41"/>
        <v>101428</v>
      </c>
    </row>
    <row r="7" spans="1:109" s="1" customFormat="1" ht="12.5" x14ac:dyDescent="0.25">
      <c r="A7" s="112" t="s">
        <v>29</v>
      </c>
      <c r="B7" s="122">
        <f>177680+24880</f>
        <v>202560</v>
      </c>
      <c r="C7" s="84">
        <f>153820+23160</f>
        <v>176980</v>
      </c>
      <c r="D7" s="29">
        <f t="shared" ref="D7" si="92">B7-C7</f>
        <v>25580</v>
      </c>
      <c r="E7" s="84">
        <f>127140+12400+17200+580</f>
        <v>157320</v>
      </c>
      <c r="F7" s="29">
        <f t="shared" ref="F7" si="93">B7-E7</f>
        <v>45240</v>
      </c>
      <c r="G7" s="65">
        <v>24880</v>
      </c>
      <c r="H7" s="116">
        <f t="shared" ref="H7" si="94">B7-G7</f>
        <v>177680</v>
      </c>
      <c r="I7" s="121"/>
      <c r="J7" s="80">
        <f>184380+116220</f>
        <v>300600</v>
      </c>
      <c r="K7" s="89">
        <f>159700+113180</f>
        <v>272880</v>
      </c>
      <c r="L7" s="90">
        <f t="shared" ref="L7" si="95">J7-K7</f>
        <v>27720</v>
      </c>
      <c r="M7" s="89">
        <f>137020+15280+105940+2040</f>
        <v>260280</v>
      </c>
      <c r="N7" s="90">
        <f t="shared" ref="N7" si="96">J7-M7</f>
        <v>40320</v>
      </c>
      <c r="O7" s="105">
        <v>116220</v>
      </c>
      <c r="P7" s="96">
        <f t="shared" ref="P7" si="97">J7-O7</f>
        <v>184380</v>
      </c>
      <c r="Q7" s="108"/>
      <c r="R7" s="80">
        <f>177858+75150</f>
        <v>253008</v>
      </c>
      <c r="S7" s="84">
        <f>153880+73600</f>
        <v>227480</v>
      </c>
      <c r="T7" s="29">
        <f t="shared" ref="T7" si="98">R7-S7</f>
        <v>25528</v>
      </c>
      <c r="U7" s="84">
        <f>120480+11500+61360+600</f>
        <v>193940</v>
      </c>
      <c r="V7" s="29">
        <f t="shared" ref="V7" si="99">R7-U7</f>
        <v>59068</v>
      </c>
      <c r="W7" s="65">
        <v>75150</v>
      </c>
      <c r="X7" s="31">
        <f t="shared" ref="X7" si="100">R7-W7</f>
        <v>177858</v>
      </c>
      <c r="Y7" s="83">
        <v>189934</v>
      </c>
      <c r="Z7" s="28">
        <v>163160</v>
      </c>
      <c r="AA7" s="29">
        <f t="shared" ref="AA7" si="101">Y7-Z7</f>
        <v>26774</v>
      </c>
      <c r="AB7" s="28">
        <v>149880</v>
      </c>
      <c r="AC7" s="29">
        <f t="shared" ref="AC7" si="102">Y7-AB7</f>
        <v>40054</v>
      </c>
      <c r="AD7" s="30">
        <v>16719</v>
      </c>
      <c r="AE7" s="31">
        <f t="shared" ref="AE7" si="103">Y7-AD7</f>
        <v>173215</v>
      </c>
      <c r="AF7" s="80">
        <v>210079</v>
      </c>
      <c r="AG7" s="71">
        <v>180360</v>
      </c>
      <c r="AH7" s="29">
        <f t="shared" si="12"/>
        <v>29719</v>
      </c>
      <c r="AI7" s="28">
        <f>138960+16360+9820+1309</f>
        <v>166449</v>
      </c>
      <c r="AJ7" s="29">
        <f t="shared" si="13"/>
        <v>43630</v>
      </c>
      <c r="AK7" s="30">
        <v>17449</v>
      </c>
      <c r="AL7" s="31">
        <f t="shared" si="14"/>
        <v>192630</v>
      </c>
      <c r="AM7" s="64">
        <v>189950</v>
      </c>
      <c r="AN7" s="28">
        <v>161180</v>
      </c>
      <c r="AO7" s="29">
        <f t="shared" si="15"/>
        <v>28770</v>
      </c>
      <c r="AP7" s="28">
        <v>147600</v>
      </c>
      <c r="AQ7" s="29">
        <f t="shared" si="16"/>
        <v>42350</v>
      </c>
      <c r="AR7" s="65">
        <v>7460</v>
      </c>
      <c r="AS7" s="31">
        <f t="shared" si="17"/>
        <v>182490</v>
      </c>
      <c r="AT7" s="23">
        <v>192420</v>
      </c>
      <c r="AU7" s="19">
        <v>161059</v>
      </c>
      <c r="AV7" s="20">
        <f t="shared" si="18"/>
        <v>31361</v>
      </c>
      <c r="AW7" s="19">
        <v>143060</v>
      </c>
      <c r="AX7" s="20">
        <f t="shared" si="19"/>
        <v>49360</v>
      </c>
      <c r="AY7" s="21">
        <v>18380</v>
      </c>
      <c r="AZ7" s="22">
        <f t="shared" si="20"/>
        <v>174040</v>
      </c>
      <c r="BA7" s="23">
        <v>154010</v>
      </c>
      <c r="BB7" s="19">
        <v>127991</v>
      </c>
      <c r="BC7" s="20">
        <f t="shared" si="21"/>
        <v>26019</v>
      </c>
      <c r="BD7" s="19">
        <v>112611</v>
      </c>
      <c r="BE7" s="20">
        <f t="shared" si="22"/>
        <v>41399</v>
      </c>
      <c r="BF7" s="21">
        <v>12440</v>
      </c>
      <c r="BG7" s="22">
        <f t="shared" si="23"/>
        <v>141570</v>
      </c>
      <c r="BH7" s="23">
        <v>117620</v>
      </c>
      <c r="BI7" s="19">
        <v>96960</v>
      </c>
      <c r="BJ7" s="20">
        <f t="shared" si="24"/>
        <v>20660</v>
      </c>
      <c r="BK7" s="19">
        <v>85320</v>
      </c>
      <c r="BL7" s="20">
        <f t="shared" si="25"/>
        <v>32300</v>
      </c>
      <c r="BM7" s="21">
        <v>5520</v>
      </c>
      <c r="BN7" s="22">
        <f t="shared" si="26"/>
        <v>112100</v>
      </c>
      <c r="BO7" s="23">
        <v>150152</v>
      </c>
      <c r="BP7" s="24">
        <v>129913</v>
      </c>
      <c r="BQ7" s="20">
        <f t="shared" si="27"/>
        <v>20239</v>
      </c>
      <c r="BR7" s="24">
        <v>116373</v>
      </c>
      <c r="BS7" s="20">
        <f t="shared" si="28"/>
        <v>33779</v>
      </c>
      <c r="BT7" s="21">
        <v>10877</v>
      </c>
      <c r="BU7" s="34">
        <f t="shared" si="29"/>
        <v>139275</v>
      </c>
      <c r="BV7" s="35">
        <v>135078</v>
      </c>
      <c r="BW7" s="36">
        <v>111618</v>
      </c>
      <c r="BX7" s="37">
        <f t="shared" si="30"/>
        <v>23460</v>
      </c>
      <c r="BY7" s="36">
        <v>97960</v>
      </c>
      <c r="BZ7" s="37">
        <f t="shared" si="31"/>
        <v>37118</v>
      </c>
      <c r="CA7" s="38">
        <v>9738</v>
      </c>
      <c r="CB7" s="39">
        <f t="shared" si="32"/>
        <v>125340</v>
      </c>
      <c r="CC7" s="37">
        <v>153181</v>
      </c>
      <c r="CD7" s="37">
        <v>126532</v>
      </c>
      <c r="CE7" s="37">
        <f t="shared" si="33"/>
        <v>26649</v>
      </c>
      <c r="CF7" s="37">
        <v>108273</v>
      </c>
      <c r="CG7" s="37">
        <f t="shared" si="34"/>
        <v>44908</v>
      </c>
      <c r="CH7" s="40">
        <v>22553</v>
      </c>
      <c r="CI7" s="39">
        <f t="shared" si="35"/>
        <v>130628</v>
      </c>
      <c r="CJ7" s="37">
        <v>134894</v>
      </c>
      <c r="CK7" s="37">
        <v>112160</v>
      </c>
      <c r="CL7" s="37">
        <f t="shared" si="36"/>
        <v>22734</v>
      </c>
      <c r="CM7" s="37">
        <v>98060</v>
      </c>
      <c r="CN7" s="37">
        <f t="shared" si="37"/>
        <v>36834</v>
      </c>
      <c r="CO7" s="40">
        <v>5619</v>
      </c>
      <c r="CP7" s="41">
        <f t="shared" si="38"/>
        <v>129275</v>
      </c>
      <c r="CQ7" s="37">
        <v>129045</v>
      </c>
      <c r="CR7" s="40">
        <v>9460</v>
      </c>
      <c r="CS7" s="41">
        <f t="shared" si="54"/>
        <v>119585</v>
      </c>
      <c r="CT7" s="37">
        <v>131177</v>
      </c>
      <c r="CU7" s="40">
        <v>25824</v>
      </c>
      <c r="CV7" s="41">
        <f t="shared" si="55"/>
        <v>105353</v>
      </c>
      <c r="CW7" s="37">
        <v>143876</v>
      </c>
      <c r="CX7" s="40">
        <v>15760</v>
      </c>
      <c r="CY7" s="41">
        <f t="shared" si="39"/>
        <v>128116</v>
      </c>
      <c r="CZ7" s="37">
        <v>112221</v>
      </c>
      <c r="DA7" s="40">
        <v>16900</v>
      </c>
      <c r="DB7" s="41">
        <f t="shared" si="40"/>
        <v>95321</v>
      </c>
      <c r="DC7" s="37">
        <v>108184</v>
      </c>
      <c r="DD7" s="40">
        <v>3559</v>
      </c>
      <c r="DE7" s="42">
        <f t="shared" si="41"/>
        <v>104625</v>
      </c>
    </row>
    <row r="8" spans="1:109" s="1" customFormat="1" ht="12.5" x14ac:dyDescent="0.25">
      <c r="A8" s="112" t="s">
        <v>30</v>
      </c>
      <c r="B8" s="122">
        <f>166320+30081</f>
        <v>196401</v>
      </c>
      <c r="C8" s="84">
        <f>142660+28240</f>
        <v>170900</v>
      </c>
      <c r="D8" s="29">
        <f t="shared" ref="D8" si="104">B8-C8</f>
        <v>25501</v>
      </c>
      <c r="E8" s="84">
        <f>121960+12760+22520+980</f>
        <v>158220</v>
      </c>
      <c r="F8" s="29">
        <f t="shared" ref="F8" si="105">B8-E8</f>
        <v>38181</v>
      </c>
      <c r="G8" s="65">
        <v>30081</v>
      </c>
      <c r="H8" s="116">
        <f t="shared" ref="H8" si="106">B8-G8</f>
        <v>166320</v>
      </c>
      <c r="I8" s="121"/>
      <c r="J8" s="80">
        <f>173280+119959</f>
        <v>293239</v>
      </c>
      <c r="K8" s="89">
        <f>153140+116460</f>
        <v>269600</v>
      </c>
      <c r="L8" s="90">
        <f t="shared" ref="L8" si="107">J8-K8</f>
        <v>23639</v>
      </c>
      <c r="M8" s="89">
        <f>130260+12100+111180+2939</f>
        <v>256479</v>
      </c>
      <c r="N8" s="90">
        <f t="shared" ref="N8" si="108">J8-M8</f>
        <v>36760</v>
      </c>
      <c r="O8" s="105">
        <v>119959</v>
      </c>
      <c r="P8" s="96">
        <f t="shared" ref="P8" si="109">J8-O8</f>
        <v>173280</v>
      </c>
      <c r="Q8" s="108"/>
      <c r="R8" s="80">
        <f>159160+77640</f>
        <v>236800</v>
      </c>
      <c r="S8" s="84">
        <f>137800+74120</f>
        <v>211920</v>
      </c>
      <c r="T8" s="29">
        <f t="shared" ref="T8" si="110">R8-S8</f>
        <v>24880</v>
      </c>
      <c r="U8" s="84">
        <f>111280+11000+63680+2020</f>
        <v>187980</v>
      </c>
      <c r="V8" s="29">
        <f t="shared" ref="V8" si="111">R8-U8</f>
        <v>48820</v>
      </c>
      <c r="W8" s="65">
        <v>77640</v>
      </c>
      <c r="X8" s="31">
        <f t="shared" ref="X8" si="112">R8-W8</f>
        <v>159160</v>
      </c>
      <c r="Y8" s="83">
        <v>192040</v>
      </c>
      <c r="Z8" s="28">
        <v>158912</v>
      </c>
      <c r="AA8" s="29">
        <f t="shared" ref="AA8" si="113">Y8-Z8</f>
        <v>33128</v>
      </c>
      <c r="AB8" s="28">
        <v>150290</v>
      </c>
      <c r="AC8" s="29">
        <f t="shared" ref="AC8" si="114">Y8-AB8</f>
        <v>41750</v>
      </c>
      <c r="AD8" s="30">
        <v>20860</v>
      </c>
      <c r="AE8" s="31">
        <f t="shared" ref="AE8" si="115">Y8-AD8</f>
        <v>171180</v>
      </c>
      <c r="AF8" s="80">
        <f>189460+24583</f>
        <v>214043</v>
      </c>
      <c r="AG8" s="71">
        <v>180820</v>
      </c>
      <c r="AH8" s="29">
        <f t="shared" ref="AH8" si="116">AF8-AG8</f>
        <v>33223</v>
      </c>
      <c r="AI8" s="28">
        <f>135020+15880+13700+4253</f>
        <v>168853</v>
      </c>
      <c r="AJ8" s="29">
        <f t="shared" ref="AJ8" si="117">AF8-AI8</f>
        <v>45190</v>
      </c>
      <c r="AK8" s="30">
        <v>24583</v>
      </c>
      <c r="AL8" s="31">
        <f t="shared" ref="AL8" si="118">AF8-AK8</f>
        <v>189460</v>
      </c>
      <c r="AM8" s="64">
        <v>202759</v>
      </c>
      <c r="AN8" s="28">
        <v>170720</v>
      </c>
      <c r="AO8" s="29">
        <f t="shared" si="15"/>
        <v>32039</v>
      </c>
      <c r="AP8" s="28">
        <v>154440</v>
      </c>
      <c r="AQ8" s="29">
        <f t="shared" si="16"/>
        <v>48319</v>
      </c>
      <c r="AR8" s="65">
        <v>21018</v>
      </c>
      <c r="AS8" s="31">
        <f t="shared" si="17"/>
        <v>181741</v>
      </c>
      <c r="AT8" s="23">
        <v>197504</v>
      </c>
      <c r="AU8" s="19">
        <v>165144</v>
      </c>
      <c r="AV8" s="20">
        <f t="shared" si="18"/>
        <v>32360</v>
      </c>
      <c r="AW8" s="19">
        <v>146704</v>
      </c>
      <c r="AX8" s="20">
        <f t="shared" si="19"/>
        <v>50800</v>
      </c>
      <c r="AY8" s="21">
        <v>20720</v>
      </c>
      <c r="AZ8" s="22">
        <f t="shared" si="20"/>
        <v>176784</v>
      </c>
      <c r="BA8" s="23">
        <v>147963</v>
      </c>
      <c r="BB8" s="19">
        <v>122745</v>
      </c>
      <c r="BC8" s="20">
        <f t="shared" si="21"/>
        <v>25218</v>
      </c>
      <c r="BD8" s="19">
        <v>108585</v>
      </c>
      <c r="BE8" s="20">
        <f t="shared" si="22"/>
        <v>39378</v>
      </c>
      <c r="BF8" s="21">
        <v>8456</v>
      </c>
      <c r="BG8" s="22">
        <f t="shared" si="23"/>
        <v>139507</v>
      </c>
      <c r="BH8" s="23">
        <v>116361</v>
      </c>
      <c r="BI8" s="19">
        <v>97680</v>
      </c>
      <c r="BJ8" s="20">
        <f t="shared" si="24"/>
        <v>18681</v>
      </c>
      <c r="BK8" s="19">
        <v>87080</v>
      </c>
      <c r="BL8" s="20">
        <f t="shared" si="25"/>
        <v>29281</v>
      </c>
      <c r="BM8" s="21">
        <v>13040</v>
      </c>
      <c r="BN8" s="22">
        <f t="shared" si="26"/>
        <v>103321</v>
      </c>
      <c r="BO8" s="23">
        <v>153397</v>
      </c>
      <c r="BP8" s="24">
        <v>130958</v>
      </c>
      <c r="BQ8" s="20">
        <f t="shared" si="27"/>
        <v>22439</v>
      </c>
      <c r="BR8" s="24">
        <v>118738</v>
      </c>
      <c r="BS8" s="20">
        <f t="shared" si="28"/>
        <v>34659</v>
      </c>
      <c r="BT8" s="21">
        <v>10299</v>
      </c>
      <c r="BU8" s="34">
        <f t="shared" si="29"/>
        <v>143098</v>
      </c>
      <c r="BV8" s="35">
        <v>141725</v>
      </c>
      <c r="BW8" s="36">
        <v>116555</v>
      </c>
      <c r="BX8" s="37">
        <f t="shared" si="30"/>
        <v>25170</v>
      </c>
      <c r="BY8" s="36">
        <v>102688</v>
      </c>
      <c r="BZ8" s="37">
        <f t="shared" si="31"/>
        <v>39037</v>
      </c>
      <c r="CA8" s="38">
        <v>12059</v>
      </c>
      <c r="CB8" s="39">
        <f t="shared" si="32"/>
        <v>129666</v>
      </c>
      <c r="CC8" s="37">
        <v>143489</v>
      </c>
      <c r="CD8" s="37">
        <v>119540</v>
      </c>
      <c r="CE8" s="37">
        <f t="shared" si="33"/>
        <v>23949</v>
      </c>
      <c r="CF8" s="37">
        <v>104610</v>
      </c>
      <c r="CG8" s="37">
        <f t="shared" si="34"/>
        <v>38879</v>
      </c>
      <c r="CH8" s="40">
        <v>18419</v>
      </c>
      <c r="CI8" s="39">
        <f t="shared" si="35"/>
        <v>125070</v>
      </c>
      <c r="CJ8" s="37">
        <v>135717</v>
      </c>
      <c r="CK8" s="37">
        <v>114380</v>
      </c>
      <c r="CL8" s="37">
        <f t="shared" si="36"/>
        <v>21337</v>
      </c>
      <c r="CM8" s="37">
        <v>101118</v>
      </c>
      <c r="CN8" s="37">
        <f t="shared" si="37"/>
        <v>34599</v>
      </c>
      <c r="CO8" s="40">
        <v>6740</v>
      </c>
      <c r="CP8" s="41">
        <f t="shared" si="38"/>
        <v>128977</v>
      </c>
      <c r="CQ8" s="37">
        <v>150098</v>
      </c>
      <c r="CR8" s="40">
        <v>27048</v>
      </c>
      <c r="CS8" s="41">
        <f t="shared" si="54"/>
        <v>123050</v>
      </c>
      <c r="CT8" s="37">
        <v>146343</v>
      </c>
      <c r="CU8" s="40">
        <v>39969</v>
      </c>
      <c r="CV8" s="41">
        <f t="shared" si="55"/>
        <v>106374</v>
      </c>
      <c r="CW8" s="37">
        <v>132342</v>
      </c>
      <c r="CX8" s="40">
        <v>13080</v>
      </c>
      <c r="CY8" s="41">
        <f t="shared" si="39"/>
        <v>119262</v>
      </c>
      <c r="CZ8" s="37">
        <v>124390</v>
      </c>
      <c r="DA8" s="40">
        <v>18780</v>
      </c>
      <c r="DB8" s="41">
        <f t="shared" si="40"/>
        <v>105610</v>
      </c>
      <c r="DC8" s="37">
        <v>113604</v>
      </c>
      <c r="DD8" s="40">
        <v>10285</v>
      </c>
      <c r="DE8" s="42">
        <f t="shared" si="41"/>
        <v>103319</v>
      </c>
    </row>
    <row r="9" spans="1:109" s="1" customFormat="1" ht="12.5" x14ac:dyDescent="0.25">
      <c r="A9" s="112" t="s">
        <v>31</v>
      </c>
      <c r="B9" s="122">
        <f>170080+26178</f>
        <v>196258</v>
      </c>
      <c r="C9" s="84">
        <f>146800+24480</f>
        <v>171280</v>
      </c>
      <c r="D9" s="29">
        <f t="shared" ref="D9" si="119">B9-C9</f>
        <v>24978</v>
      </c>
      <c r="E9" s="84">
        <f>124320+12860+21040+1240</f>
        <v>159460</v>
      </c>
      <c r="F9" s="29">
        <f t="shared" ref="F9" si="120">B9-E9</f>
        <v>36798</v>
      </c>
      <c r="G9" s="65">
        <v>26178</v>
      </c>
      <c r="H9" s="116">
        <f t="shared" ref="H9" si="121">B9-G9</f>
        <v>170080</v>
      </c>
      <c r="I9" s="121"/>
      <c r="J9" s="80">
        <f>177540+127860</f>
        <v>305400</v>
      </c>
      <c r="K9" s="89">
        <f>154520+124040</f>
        <v>278560</v>
      </c>
      <c r="L9" s="90">
        <f t="shared" ref="L9" si="122">J9-K9</f>
        <v>26840</v>
      </c>
      <c r="M9" s="89">
        <f>131040+13280+116520+2900</f>
        <v>263740</v>
      </c>
      <c r="N9" s="90">
        <f t="shared" ref="N9" si="123">J9-M9</f>
        <v>41660</v>
      </c>
      <c r="O9" s="105">
        <v>127860</v>
      </c>
      <c r="P9" s="96">
        <f t="shared" ref="P9" si="124">J9-O9</f>
        <v>177540</v>
      </c>
      <c r="Q9" s="108"/>
      <c r="R9" s="80">
        <f>162822+79340</f>
        <v>242162</v>
      </c>
      <c r="S9" s="84">
        <f>138120+76800</f>
        <v>214920</v>
      </c>
      <c r="T9" s="29">
        <f t="shared" ref="T9" si="125">R9-S9</f>
        <v>27242</v>
      </c>
      <c r="U9" s="84">
        <f>112040+10880+71880+1520</f>
        <v>196320</v>
      </c>
      <c r="V9" s="29">
        <f t="shared" ref="V9" si="126">R9-U9</f>
        <v>45842</v>
      </c>
      <c r="W9" s="65">
        <v>79340</v>
      </c>
      <c r="X9" s="31">
        <f t="shared" ref="X9" si="127">R9-W9</f>
        <v>162822</v>
      </c>
      <c r="Y9" s="83">
        <v>198530</v>
      </c>
      <c r="Z9" s="28">
        <v>167038</v>
      </c>
      <c r="AA9" s="29">
        <f t="shared" ref="AA9" si="128">Y9-Z9</f>
        <v>31492</v>
      </c>
      <c r="AB9" s="28">
        <v>156215</v>
      </c>
      <c r="AC9" s="29">
        <f t="shared" ref="AC9" si="129">Y9-AB9</f>
        <v>42315</v>
      </c>
      <c r="AD9" s="30">
        <v>27555</v>
      </c>
      <c r="AE9" s="31">
        <f t="shared" ref="AE9" si="130">Y9-AD9</f>
        <v>170975</v>
      </c>
      <c r="AF9" s="80">
        <v>201852</v>
      </c>
      <c r="AG9" s="71">
        <v>173640</v>
      </c>
      <c r="AH9" s="29">
        <f t="shared" ref="AH9" si="131">AF9-AG9</f>
        <v>28212</v>
      </c>
      <c r="AI9" s="28">
        <v>157996</v>
      </c>
      <c r="AJ9" s="29">
        <f t="shared" ref="AJ9" si="132">AF9-AI9</f>
        <v>43856</v>
      </c>
      <c r="AK9" s="30">
        <v>19194</v>
      </c>
      <c r="AL9" s="31">
        <f t="shared" ref="AL9" si="133">AF9-AK9</f>
        <v>182658</v>
      </c>
      <c r="AM9" s="64">
        <v>208298</v>
      </c>
      <c r="AN9" s="28">
        <v>177500</v>
      </c>
      <c r="AO9" s="29">
        <f t="shared" si="15"/>
        <v>30798</v>
      </c>
      <c r="AP9" s="28">
        <v>159238</v>
      </c>
      <c r="AQ9" s="29">
        <f t="shared" si="16"/>
        <v>49060</v>
      </c>
      <c r="AR9" s="65">
        <v>22638</v>
      </c>
      <c r="AS9" s="31">
        <f t="shared" si="17"/>
        <v>185660</v>
      </c>
      <c r="AT9" s="23">
        <v>192595</v>
      </c>
      <c r="AU9" s="19">
        <v>164037</v>
      </c>
      <c r="AV9" s="20">
        <f t="shared" si="18"/>
        <v>28558</v>
      </c>
      <c r="AW9" s="19">
        <v>143215</v>
      </c>
      <c r="AX9" s="20">
        <f t="shared" si="19"/>
        <v>49380</v>
      </c>
      <c r="AY9" s="21">
        <v>23520</v>
      </c>
      <c r="AZ9" s="22">
        <f t="shared" si="20"/>
        <v>169075</v>
      </c>
      <c r="BA9" s="23">
        <v>144742</v>
      </c>
      <c r="BB9" s="19">
        <v>120540</v>
      </c>
      <c r="BC9" s="20">
        <f t="shared" si="21"/>
        <v>24202</v>
      </c>
      <c r="BD9" s="19">
        <v>107002</v>
      </c>
      <c r="BE9" s="20">
        <f t="shared" si="22"/>
        <v>37740</v>
      </c>
      <c r="BF9" s="21">
        <v>9880</v>
      </c>
      <c r="BG9" s="22">
        <f t="shared" si="23"/>
        <v>134862</v>
      </c>
      <c r="BH9" s="23">
        <v>115356</v>
      </c>
      <c r="BI9" s="19">
        <v>94958</v>
      </c>
      <c r="BJ9" s="20">
        <f t="shared" si="24"/>
        <v>20398</v>
      </c>
      <c r="BK9" s="19">
        <v>83698</v>
      </c>
      <c r="BL9" s="20">
        <f t="shared" si="25"/>
        <v>31658</v>
      </c>
      <c r="BM9" s="21">
        <v>9340</v>
      </c>
      <c r="BN9" s="22">
        <f t="shared" si="26"/>
        <v>106016</v>
      </c>
      <c r="BO9" s="23">
        <v>154458</v>
      </c>
      <c r="BP9" s="24">
        <v>131158</v>
      </c>
      <c r="BQ9" s="20">
        <f t="shared" si="27"/>
        <v>23300</v>
      </c>
      <c r="BR9" s="24">
        <v>118238</v>
      </c>
      <c r="BS9" s="20">
        <f t="shared" si="28"/>
        <v>36220</v>
      </c>
      <c r="BT9" s="21">
        <v>9440</v>
      </c>
      <c r="BU9" s="34">
        <f t="shared" si="29"/>
        <v>145018</v>
      </c>
      <c r="BV9" s="35">
        <v>140360</v>
      </c>
      <c r="BW9" s="36">
        <v>117720</v>
      </c>
      <c r="BX9" s="37">
        <f t="shared" si="30"/>
        <v>22640</v>
      </c>
      <c r="BY9" s="36">
        <v>101944</v>
      </c>
      <c r="BZ9" s="37">
        <f t="shared" si="31"/>
        <v>38416</v>
      </c>
      <c r="CA9" s="38">
        <v>19096</v>
      </c>
      <c r="CB9" s="39">
        <f t="shared" si="32"/>
        <v>121264</v>
      </c>
      <c r="CC9" s="37">
        <v>145870</v>
      </c>
      <c r="CD9" s="37">
        <v>121600</v>
      </c>
      <c r="CE9" s="37">
        <f t="shared" si="33"/>
        <v>24270</v>
      </c>
      <c r="CF9" s="37">
        <v>107220</v>
      </c>
      <c r="CG9" s="37">
        <f t="shared" si="34"/>
        <v>38650</v>
      </c>
      <c r="CH9" s="40">
        <v>22740</v>
      </c>
      <c r="CI9" s="39">
        <f t="shared" si="35"/>
        <v>123130</v>
      </c>
      <c r="CJ9" s="37">
        <v>145536</v>
      </c>
      <c r="CK9" s="37">
        <v>121340</v>
      </c>
      <c r="CL9" s="37">
        <f t="shared" si="36"/>
        <v>24196</v>
      </c>
      <c r="CM9" s="37">
        <v>106558</v>
      </c>
      <c r="CN9" s="37">
        <f t="shared" si="37"/>
        <v>38978</v>
      </c>
      <c r="CO9" s="40">
        <v>10180</v>
      </c>
      <c r="CP9" s="41">
        <f t="shared" si="38"/>
        <v>135356</v>
      </c>
      <c r="CQ9" s="37">
        <v>124475</v>
      </c>
      <c r="CR9" s="40">
        <v>13380</v>
      </c>
      <c r="CS9" s="41">
        <f t="shared" si="54"/>
        <v>111095</v>
      </c>
      <c r="CT9" s="37">
        <v>139104</v>
      </c>
      <c r="CU9" s="40">
        <v>30844</v>
      </c>
      <c r="CV9" s="41">
        <f t="shared" si="55"/>
        <v>108260</v>
      </c>
      <c r="CW9" s="37">
        <v>111006</v>
      </c>
      <c r="CX9" s="40">
        <v>2600</v>
      </c>
      <c r="CY9" s="41">
        <f t="shared" si="39"/>
        <v>108406</v>
      </c>
      <c r="CZ9" s="37">
        <v>118118</v>
      </c>
      <c r="DA9" s="40">
        <v>22422</v>
      </c>
      <c r="DB9" s="41">
        <f t="shared" si="40"/>
        <v>95696</v>
      </c>
      <c r="DC9" s="37">
        <v>108878</v>
      </c>
      <c r="DD9" s="40">
        <v>6800</v>
      </c>
      <c r="DE9" s="42">
        <f t="shared" si="41"/>
        <v>102078</v>
      </c>
    </row>
    <row r="10" spans="1:109" s="1" customFormat="1" ht="12.5" x14ac:dyDescent="0.25">
      <c r="A10" s="112" t="s">
        <v>32</v>
      </c>
      <c r="B10" s="122">
        <f>166232 + 33740</f>
        <v>199972</v>
      </c>
      <c r="C10" s="84">
        <f>144880+32100</f>
        <v>176980</v>
      </c>
      <c r="D10" s="29">
        <f t="shared" ref="D10" si="134">B10-C10</f>
        <v>22992</v>
      </c>
      <c r="E10" s="84">
        <f>122360+11712+26160+660</f>
        <v>160892</v>
      </c>
      <c r="F10" s="29">
        <f t="shared" ref="F10" si="135">B10-E10</f>
        <v>39080</v>
      </c>
      <c r="G10" s="65">
        <v>33740</v>
      </c>
      <c r="H10" s="116">
        <f t="shared" ref="H10" si="136">B10-G10</f>
        <v>166232</v>
      </c>
      <c r="I10" s="121"/>
      <c r="J10" s="80">
        <f>164679+150140</f>
        <v>314819</v>
      </c>
      <c r="K10" s="89">
        <f>140260+146840</f>
        <v>287100</v>
      </c>
      <c r="L10" s="90">
        <f t="shared" ref="L10" si="137">J10-K10</f>
        <v>27719</v>
      </c>
      <c r="M10" s="89">
        <f>115620+12660+141480+2360</f>
        <v>272120</v>
      </c>
      <c r="N10" s="90">
        <f t="shared" ref="N10" si="138">J10-M10</f>
        <v>42699</v>
      </c>
      <c r="O10" s="105">
        <v>150140</v>
      </c>
      <c r="P10" s="96">
        <f t="shared" ref="P10" si="139">J10-O10</f>
        <v>164679</v>
      </c>
      <c r="Q10" s="108"/>
      <c r="R10" s="80">
        <f>144680+83740</f>
        <v>228420</v>
      </c>
      <c r="S10" s="84">
        <f>120120+81560</f>
        <v>201680</v>
      </c>
      <c r="T10" s="29">
        <f t="shared" ref="T10" si="140">R10-S10</f>
        <v>26740</v>
      </c>
      <c r="U10" s="84">
        <f>93040+10580+76680+1140</f>
        <v>181440</v>
      </c>
      <c r="V10" s="29">
        <f t="shared" ref="V10" si="141">R10-U10</f>
        <v>46980</v>
      </c>
      <c r="W10" s="65">
        <v>83740</v>
      </c>
      <c r="X10" s="31">
        <f t="shared" ref="X10" si="142">R10-W10</f>
        <v>144680</v>
      </c>
      <c r="Y10" s="83">
        <v>192659</v>
      </c>
      <c r="Z10" s="28">
        <v>163403</v>
      </c>
      <c r="AA10" s="29">
        <f t="shared" ref="AA10" si="143">Y10-Z10</f>
        <v>29256</v>
      </c>
      <c r="AB10" s="28">
        <v>151580</v>
      </c>
      <c r="AC10" s="29">
        <f t="shared" ref="AC10" si="144">Y10-AB10</f>
        <v>41079</v>
      </c>
      <c r="AD10" s="30">
        <v>20719</v>
      </c>
      <c r="AE10" s="31">
        <f t="shared" ref="AE10" si="145">Y10-AD10</f>
        <v>171940</v>
      </c>
      <c r="AF10" s="80">
        <v>186623</v>
      </c>
      <c r="AG10" s="71">
        <v>159242</v>
      </c>
      <c r="AH10" s="29">
        <f t="shared" ref="AH10" si="146">AF10-AG10</f>
        <v>27381</v>
      </c>
      <c r="AI10" s="28">
        <v>145060</v>
      </c>
      <c r="AJ10" s="29">
        <f t="shared" ref="AJ10" si="147">AF10-AI10</f>
        <v>41563</v>
      </c>
      <c r="AK10" s="30">
        <v>13280</v>
      </c>
      <c r="AL10" s="31">
        <f t="shared" ref="AL10" si="148">AF10-AK10</f>
        <v>173343</v>
      </c>
      <c r="AM10" s="64">
        <v>196918</v>
      </c>
      <c r="AN10" s="28">
        <v>166440</v>
      </c>
      <c r="AO10" s="29">
        <f t="shared" si="15"/>
        <v>30478</v>
      </c>
      <c r="AP10" s="28">
        <v>149160</v>
      </c>
      <c r="AQ10" s="29">
        <f t="shared" si="16"/>
        <v>47758</v>
      </c>
      <c r="AR10" s="65">
        <v>20380</v>
      </c>
      <c r="AS10" s="31">
        <f t="shared" si="17"/>
        <v>176538</v>
      </c>
      <c r="AT10" s="23">
        <v>194013</v>
      </c>
      <c r="AU10" s="19">
        <v>164407</v>
      </c>
      <c r="AV10" s="20">
        <f t="shared" si="18"/>
        <v>29606</v>
      </c>
      <c r="AW10" s="19">
        <v>146197</v>
      </c>
      <c r="AX10" s="20">
        <f t="shared" si="19"/>
        <v>47816</v>
      </c>
      <c r="AY10" s="21">
        <v>32860</v>
      </c>
      <c r="AZ10" s="22">
        <f t="shared" si="20"/>
        <v>161153</v>
      </c>
      <c r="BA10" s="23">
        <v>139959</v>
      </c>
      <c r="BB10" s="19">
        <v>117900</v>
      </c>
      <c r="BC10" s="20">
        <f t="shared" si="21"/>
        <v>22059</v>
      </c>
      <c r="BD10" s="19">
        <v>97000</v>
      </c>
      <c r="BE10" s="20">
        <f t="shared" si="22"/>
        <v>42959</v>
      </c>
      <c r="BF10" s="21">
        <v>12160</v>
      </c>
      <c r="BG10" s="22">
        <f t="shared" si="23"/>
        <v>127799</v>
      </c>
      <c r="BH10" s="23">
        <v>117140</v>
      </c>
      <c r="BI10" s="19">
        <v>100460</v>
      </c>
      <c r="BJ10" s="20">
        <f t="shared" si="24"/>
        <v>16680</v>
      </c>
      <c r="BK10" s="19">
        <v>86120</v>
      </c>
      <c r="BL10" s="20">
        <f t="shared" si="25"/>
        <v>31020</v>
      </c>
      <c r="BM10" s="21">
        <v>21420</v>
      </c>
      <c r="BN10" s="22">
        <f t="shared" si="26"/>
        <v>95720</v>
      </c>
      <c r="BO10" s="23">
        <v>143119</v>
      </c>
      <c r="BP10" s="24">
        <v>124520</v>
      </c>
      <c r="BQ10" s="20">
        <f t="shared" si="27"/>
        <v>18599</v>
      </c>
      <c r="BR10" s="24">
        <v>111240</v>
      </c>
      <c r="BS10" s="20">
        <f t="shared" si="28"/>
        <v>31879</v>
      </c>
      <c r="BT10" s="21">
        <v>8840</v>
      </c>
      <c r="BU10" s="34">
        <f t="shared" si="29"/>
        <v>134279</v>
      </c>
      <c r="BV10" s="35">
        <v>126137</v>
      </c>
      <c r="BW10" s="36">
        <v>105958</v>
      </c>
      <c r="BX10" s="37">
        <f t="shared" si="30"/>
        <v>20179</v>
      </c>
      <c r="BY10" s="36">
        <v>93519</v>
      </c>
      <c r="BZ10" s="37">
        <f t="shared" si="31"/>
        <v>32618</v>
      </c>
      <c r="CA10" s="38">
        <v>15038</v>
      </c>
      <c r="CB10" s="39">
        <f t="shared" si="32"/>
        <v>111099</v>
      </c>
      <c r="CC10" s="37">
        <v>140130</v>
      </c>
      <c r="CD10" s="37">
        <v>114570</v>
      </c>
      <c r="CE10" s="37">
        <f t="shared" si="33"/>
        <v>25560</v>
      </c>
      <c r="CF10" s="37">
        <v>100140</v>
      </c>
      <c r="CG10" s="37">
        <f t="shared" si="34"/>
        <v>39990</v>
      </c>
      <c r="CH10" s="40">
        <v>11960</v>
      </c>
      <c r="CI10" s="39">
        <f t="shared" si="35"/>
        <v>128170</v>
      </c>
      <c r="CJ10" s="37">
        <v>151760</v>
      </c>
      <c r="CK10" s="37">
        <v>130698</v>
      </c>
      <c r="CL10" s="37">
        <f t="shared" si="36"/>
        <v>21062</v>
      </c>
      <c r="CM10" s="37">
        <v>114205</v>
      </c>
      <c r="CN10" s="37">
        <f t="shared" si="37"/>
        <v>37555</v>
      </c>
      <c r="CO10" s="40">
        <v>16080</v>
      </c>
      <c r="CP10" s="41">
        <f t="shared" si="38"/>
        <v>135680</v>
      </c>
      <c r="CQ10" s="37">
        <v>120431</v>
      </c>
      <c r="CR10" s="40">
        <v>9461</v>
      </c>
      <c r="CS10" s="41">
        <f t="shared" si="54"/>
        <v>110970</v>
      </c>
      <c r="CT10" s="37">
        <v>121993</v>
      </c>
      <c r="CU10" s="40">
        <v>10880</v>
      </c>
      <c r="CV10" s="41">
        <f t="shared" si="55"/>
        <v>111113</v>
      </c>
      <c r="CW10" s="37">
        <v>112080</v>
      </c>
      <c r="CX10" s="40">
        <v>3020</v>
      </c>
      <c r="CY10" s="41">
        <f t="shared" si="39"/>
        <v>109060</v>
      </c>
      <c r="CZ10" s="37">
        <v>118381</v>
      </c>
      <c r="DA10" s="40">
        <v>25217</v>
      </c>
      <c r="DB10" s="41">
        <f t="shared" si="40"/>
        <v>93164</v>
      </c>
      <c r="DC10" s="37">
        <v>123509</v>
      </c>
      <c r="DD10" s="40">
        <v>14679</v>
      </c>
      <c r="DE10" s="42">
        <f t="shared" si="41"/>
        <v>108830</v>
      </c>
    </row>
    <row r="11" spans="1:109" s="1" customFormat="1" ht="12.5" x14ac:dyDescent="0.25">
      <c r="A11" s="112" t="s">
        <v>33</v>
      </c>
      <c r="B11" s="122">
        <f>165570 + 35560</f>
        <v>201130</v>
      </c>
      <c r="C11" s="84">
        <f>145700+34320</f>
        <v>180020</v>
      </c>
      <c r="D11" s="29">
        <f t="shared" ref="D11" si="149">B11-C11</f>
        <v>21110</v>
      </c>
      <c r="E11" s="84">
        <f>121080+10240+29440+640</f>
        <v>161400</v>
      </c>
      <c r="F11" s="29">
        <f t="shared" ref="F11" si="150">B11-E11</f>
        <v>39730</v>
      </c>
      <c r="G11" s="65">
        <v>35560</v>
      </c>
      <c r="H11" s="116">
        <f t="shared" ref="H11" si="151">B11-G11</f>
        <v>165570</v>
      </c>
      <c r="I11" s="121"/>
      <c r="J11" s="80">
        <f>183200+130820</f>
        <v>314020</v>
      </c>
      <c r="K11" s="89">
        <f>161360+127960</f>
        <v>289320</v>
      </c>
      <c r="L11" s="90">
        <f t="shared" ref="L11" si="152">J11-K11</f>
        <v>24700</v>
      </c>
      <c r="M11" s="89">
        <f>138680+11980+124080+2280</f>
        <v>277020</v>
      </c>
      <c r="N11" s="90">
        <f t="shared" ref="N11" si="153">J11-M11</f>
        <v>37000</v>
      </c>
      <c r="O11" s="105">
        <v>130820</v>
      </c>
      <c r="P11" s="96">
        <f t="shared" ref="P11" si="154">J11-O11</f>
        <v>183200</v>
      </c>
      <c r="Q11" s="108"/>
      <c r="R11" s="80">
        <f>142719+69660</f>
        <v>212379</v>
      </c>
      <c r="S11" s="84">
        <f>119240+68520</f>
        <v>187760</v>
      </c>
      <c r="T11" s="29">
        <f t="shared" ref="T11" si="155">R11-S11</f>
        <v>24619</v>
      </c>
      <c r="U11" s="84">
        <f>91920+10060+62880+920</f>
        <v>165780</v>
      </c>
      <c r="V11" s="29">
        <f t="shared" ref="V11" si="156">R11-U11</f>
        <v>46599</v>
      </c>
      <c r="W11" s="65">
        <v>69660</v>
      </c>
      <c r="X11" s="31">
        <f t="shared" ref="X11" si="157">R11-W11</f>
        <v>142719</v>
      </c>
      <c r="Y11" s="83">
        <v>204452</v>
      </c>
      <c r="Z11" s="28">
        <v>168820</v>
      </c>
      <c r="AA11" s="29">
        <f t="shared" ref="AA11" si="158">Y11-Z11</f>
        <v>35632</v>
      </c>
      <c r="AB11" s="28">
        <v>154250</v>
      </c>
      <c r="AC11" s="29">
        <f t="shared" ref="AC11" si="159">Y11-AB11</f>
        <v>50202</v>
      </c>
      <c r="AD11" s="30">
        <v>19180</v>
      </c>
      <c r="AE11" s="31">
        <f t="shared" ref="AE11" si="160">Y11-AD11</f>
        <v>185272</v>
      </c>
      <c r="AF11" s="80">
        <v>183180</v>
      </c>
      <c r="AG11" s="71">
        <v>155520</v>
      </c>
      <c r="AH11" s="29">
        <f t="shared" ref="AH11" si="161">AF11-AG11</f>
        <v>27660</v>
      </c>
      <c r="AI11" s="28">
        <v>141800</v>
      </c>
      <c r="AJ11" s="29">
        <f t="shared" ref="AJ11" si="162">AF11-AI11</f>
        <v>41380</v>
      </c>
      <c r="AK11" s="30">
        <v>16000</v>
      </c>
      <c r="AL11" s="31">
        <f t="shared" ref="AL11" si="163">AF11-AK11</f>
        <v>167180</v>
      </c>
      <c r="AM11" s="64">
        <v>198279</v>
      </c>
      <c r="AN11" s="28">
        <v>168780</v>
      </c>
      <c r="AO11" s="29">
        <f t="shared" si="15"/>
        <v>29499</v>
      </c>
      <c r="AP11" s="28">
        <v>150140</v>
      </c>
      <c r="AQ11" s="29">
        <f t="shared" si="16"/>
        <v>48139</v>
      </c>
      <c r="AR11" s="65">
        <v>19380</v>
      </c>
      <c r="AS11" s="31">
        <f t="shared" si="17"/>
        <v>178899</v>
      </c>
      <c r="AT11" s="23">
        <v>172431</v>
      </c>
      <c r="AU11" s="19">
        <v>144300</v>
      </c>
      <c r="AV11" s="20">
        <f t="shared" si="18"/>
        <v>28131</v>
      </c>
      <c r="AW11" s="19">
        <v>136100</v>
      </c>
      <c r="AX11" s="20">
        <f t="shared" si="19"/>
        <v>36331</v>
      </c>
      <c r="AY11" s="21">
        <v>16680</v>
      </c>
      <c r="AZ11" s="22">
        <f t="shared" si="20"/>
        <v>155751</v>
      </c>
      <c r="BA11" s="23">
        <v>138280</v>
      </c>
      <c r="BB11" s="19">
        <v>115100</v>
      </c>
      <c r="BC11" s="20">
        <f t="shared" si="21"/>
        <v>23180</v>
      </c>
      <c r="BD11" s="19">
        <v>100340</v>
      </c>
      <c r="BE11" s="20">
        <f t="shared" si="22"/>
        <v>37940</v>
      </c>
      <c r="BF11" s="21">
        <v>12120</v>
      </c>
      <c r="BG11" s="22">
        <f t="shared" si="23"/>
        <v>126160</v>
      </c>
      <c r="BH11" s="23">
        <v>105840</v>
      </c>
      <c r="BI11" s="19">
        <v>88000</v>
      </c>
      <c r="BJ11" s="20">
        <f t="shared" si="24"/>
        <v>17840</v>
      </c>
      <c r="BK11" s="19">
        <v>75100</v>
      </c>
      <c r="BL11" s="20">
        <f t="shared" si="25"/>
        <v>30740</v>
      </c>
      <c r="BM11" s="21">
        <v>10180</v>
      </c>
      <c r="BN11" s="22">
        <f t="shared" si="26"/>
        <v>95660</v>
      </c>
      <c r="BO11" s="23">
        <v>139742</v>
      </c>
      <c r="BP11" s="24">
        <v>120643</v>
      </c>
      <c r="BQ11" s="20">
        <f t="shared" si="27"/>
        <v>19099</v>
      </c>
      <c r="BR11" s="24">
        <v>105376</v>
      </c>
      <c r="BS11" s="20">
        <f t="shared" si="28"/>
        <v>34366</v>
      </c>
      <c r="BT11" s="21">
        <v>10240</v>
      </c>
      <c r="BU11" s="34">
        <f t="shared" si="29"/>
        <v>129502</v>
      </c>
      <c r="BV11" s="35">
        <v>118447</v>
      </c>
      <c r="BW11" s="36">
        <v>98458</v>
      </c>
      <c r="BX11" s="37">
        <f t="shared" si="30"/>
        <v>19989</v>
      </c>
      <c r="BY11" s="36">
        <v>87248</v>
      </c>
      <c r="BZ11" s="37">
        <f t="shared" si="31"/>
        <v>31199</v>
      </c>
      <c r="CA11" s="38">
        <v>10117</v>
      </c>
      <c r="CB11" s="39">
        <f t="shared" si="32"/>
        <v>108330</v>
      </c>
      <c r="CC11" s="37">
        <v>132739</v>
      </c>
      <c r="CD11" s="37">
        <v>112039</v>
      </c>
      <c r="CE11" s="37">
        <f t="shared" si="33"/>
        <v>20700</v>
      </c>
      <c r="CF11" s="37">
        <v>100010</v>
      </c>
      <c r="CG11" s="37">
        <f t="shared" si="34"/>
        <v>32729</v>
      </c>
      <c r="CH11" s="40">
        <v>16120</v>
      </c>
      <c r="CI11" s="39">
        <f t="shared" si="35"/>
        <v>116619</v>
      </c>
      <c r="CJ11" s="37">
        <v>139438</v>
      </c>
      <c r="CK11" s="37">
        <v>120500</v>
      </c>
      <c r="CL11" s="37">
        <f t="shared" si="36"/>
        <v>18938</v>
      </c>
      <c r="CM11" s="37">
        <v>102503</v>
      </c>
      <c r="CN11" s="37">
        <f t="shared" si="37"/>
        <v>36935</v>
      </c>
      <c r="CO11" s="40">
        <v>18253</v>
      </c>
      <c r="CP11" s="41">
        <f t="shared" si="38"/>
        <v>121185</v>
      </c>
      <c r="CQ11" s="37">
        <v>123985</v>
      </c>
      <c r="CR11" s="40">
        <v>20318</v>
      </c>
      <c r="CS11" s="41">
        <f t="shared" si="54"/>
        <v>103667</v>
      </c>
      <c r="CT11" s="37">
        <v>123389</v>
      </c>
      <c r="CU11" s="40">
        <v>15480</v>
      </c>
      <c r="CV11" s="41">
        <f t="shared" si="55"/>
        <v>107909</v>
      </c>
      <c r="CW11" s="37">
        <v>115999</v>
      </c>
      <c r="CX11" s="40">
        <v>13163</v>
      </c>
      <c r="CY11" s="41">
        <f t="shared" si="39"/>
        <v>102836</v>
      </c>
      <c r="CZ11" s="37">
        <v>108213</v>
      </c>
      <c r="DA11" s="40">
        <v>15940</v>
      </c>
      <c r="DB11" s="41">
        <f t="shared" si="40"/>
        <v>92273</v>
      </c>
      <c r="DC11" s="37">
        <v>129589</v>
      </c>
      <c r="DD11" s="40">
        <v>23584</v>
      </c>
      <c r="DE11" s="42">
        <f t="shared" si="41"/>
        <v>106005</v>
      </c>
    </row>
    <row r="12" spans="1:109" s="1" customFormat="1" ht="12.5" x14ac:dyDescent="0.25">
      <c r="A12" s="112" t="s">
        <v>34</v>
      </c>
      <c r="B12" s="122">
        <f>160120 + 32838</f>
        <v>192958</v>
      </c>
      <c r="C12" s="84">
        <f>140680+30940</f>
        <v>171620</v>
      </c>
      <c r="D12" s="29">
        <f t="shared" ref="D12" si="164">B12-C12</f>
        <v>21338</v>
      </c>
      <c r="E12" s="84">
        <f>119880+11060+26040+1320</f>
        <v>158300</v>
      </c>
      <c r="F12" s="29">
        <f t="shared" ref="F12" si="165">B12-E12</f>
        <v>34658</v>
      </c>
      <c r="G12" s="65">
        <v>32838</v>
      </c>
      <c r="H12" s="116">
        <f t="shared" ref="H12" si="166">B12-G12</f>
        <v>160120</v>
      </c>
      <c r="I12" s="121"/>
      <c r="J12" s="80">
        <f>174239+118240</f>
        <v>292479</v>
      </c>
      <c r="K12" s="89">
        <f>151660+114520</f>
        <v>266180</v>
      </c>
      <c r="L12" s="90">
        <f t="shared" ref="L12" si="167">J12-K12</f>
        <v>26299</v>
      </c>
      <c r="M12" s="89">
        <f>129860+12639+108680+2280</f>
        <v>253459</v>
      </c>
      <c r="N12" s="90">
        <f t="shared" ref="N12" si="168">J12-M12</f>
        <v>39020</v>
      </c>
      <c r="O12" s="105">
        <v>118240</v>
      </c>
      <c r="P12" s="96">
        <f t="shared" ref="P12" si="169">J12-O12</f>
        <v>174239</v>
      </c>
      <c r="Q12" s="108"/>
      <c r="R12" s="80">
        <f>139548+68530</f>
        <v>208078</v>
      </c>
      <c r="S12" s="84">
        <f>116020+66650</f>
        <v>182670</v>
      </c>
      <c r="T12" s="29">
        <f t="shared" ref="T12" si="170">R12-S12</f>
        <v>25408</v>
      </c>
      <c r="U12" s="84">
        <f>90180+10639+64080+1340</f>
        <v>166239</v>
      </c>
      <c r="V12" s="29">
        <f t="shared" ref="V12" si="171">R12-U12</f>
        <v>41839</v>
      </c>
      <c r="W12" s="65">
        <v>68530</v>
      </c>
      <c r="X12" s="31">
        <f t="shared" ref="X12" si="172">R12-W12</f>
        <v>139548</v>
      </c>
      <c r="Y12" s="83">
        <v>197631</v>
      </c>
      <c r="Z12" s="28">
        <v>166201</v>
      </c>
      <c r="AA12" s="29">
        <f t="shared" ref="AA12" si="173">Y12-Z12</f>
        <v>31430</v>
      </c>
      <c r="AB12" s="28">
        <v>152420</v>
      </c>
      <c r="AC12" s="29">
        <f t="shared" ref="AC12" si="174">Y12-AB12</f>
        <v>45211</v>
      </c>
      <c r="AD12" s="30">
        <v>19120</v>
      </c>
      <c r="AE12" s="31">
        <f t="shared" ref="AE12" si="175">Y12-AD12</f>
        <v>178511</v>
      </c>
      <c r="AF12" s="80">
        <v>190598</v>
      </c>
      <c r="AG12" s="71">
        <v>162800</v>
      </c>
      <c r="AH12" s="29">
        <f t="shared" ref="AH12" si="176">AF12-AG12</f>
        <v>27798</v>
      </c>
      <c r="AI12" s="28">
        <v>148380</v>
      </c>
      <c r="AJ12" s="29">
        <f t="shared" ref="AJ12" si="177">AF12-AI12</f>
        <v>42218</v>
      </c>
      <c r="AK12" s="30">
        <v>20738</v>
      </c>
      <c r="AL12" s="31">
        <f t="shared" ref="AL12" si="178">AF12-AK12</f>
        <v>169860</v>
      </c>
      <c r="AM12" s="64">
        <v>200103</v>
      </c>
      <c r="AN12" s="28">
        <v>170400</v>
      </c>
      <c r="AO12" s="29">
        <f t="shared" si="15"/>
        <v>29703</v>
      </c>
      <c r="AP12" s="28">
        <v>153140</v>
      </c>
      <c r="AQ12" s="29">
        <f t="shared" si="16"/>
        <v>46963</v>
      </c>
      <c r="AR12" s="65">
        <v>25160</v>
      </c>
      <c r="AS12" s="31">
        <f t="shared" si="17"/>
        <v>174943</v>
      </c>
      <c r="AT12" s="23">
        <v>167105</v>
      </c>
      <c r="AU12" s="19">
        <v>143360</v>
      </c>
      <c r="AV12" s="20">
        <f t="shared" si="18"/>
        <v>23745</v>
      </c>
      <c r="AW12" s="19">
        <v>118280</v>
      </c>
      <c r="AX12" s="20">
        <f t="shared" si="19"/>
        <v>48825</v>
      </c>
      <c r="AY12" s="21">
        <v>17920</v>
      </c>
      <c r="AZ12" s="22">
        <f t="shared" si="20"/>
        <v>149185</v>
      </c>
      <c r="BA12" s="23">
        <v>126273</v>
      </c>
      <c r="BB12" s="19">
        <v>107600</v>
      </c>
      <c r="BC12" s="20">
        <f t="shared" si="21"/>
        <v>18673</v>
      </c>
      <c r="BD12" s="19">
        <v>91974</v>
      </c>
      <c r="BE12" s="20">
        <f t="shared" si="22"/>
        <v>34299</v>
      </c>
      <c r="BF12" s="21">
        <v>11040</v>
      </c>
      <c r="BG12" s="22">
        <f t="shared" si="23"/>
        <v>115233</v>
      </c>
      <c r="BH12" s="23">
        <v>103585</v>
      </c>
      <c r="BI12" s="19">
        <v>88235</v>
      </c>
      <c r="BJ12" s="20">
        <f t="shared" si="24"/>
        <v>15350</v>
      </c>
      <c r="BK12" s="19">
        <v>76105</v>
      </c>
      <c r="BL12" s="20">
        <f t="shared" si="25"/>
        <v>27480</v>
      </c>
      <c r="BM12" s="21">
        <v>11220</v>
      </c>
      <c r="BN12" s="22">
        <f t="shared" si="26"/>
        <v>92365</v>
      </c>
      <c r="BO12" s="23">
        <v>144515</v>
      </c>
      <c r="BP12" s="24">
        <v>125397</v>
      </c>
      <c r="BQ12" s="20">
        <f t="shared" si="27"/>
        <v>19118</v>
      </c>
      <c r="BR12" s="24">
        <v>112739</v>
      </c>
      <c r="BS12" s="20">
        <f t="shared" si="28"/>
        <v>31776</v>
      </c>
      <c r="BT12" s="21">
        <v>10240</v>
      </c>
      <c r="BU12" s="34">
        <f t="shared" si="29"/>
        <v>134275</v>
      </c>
      <c r="BV12" s="35">
        <v>116156</v>
      </c>
      <c r="BW12" s="36">
        <v>101086</v>
      </c>
      <c r="BX12" s="37">
        <f t="shared" si="30"/>
        <v>15070</v>
      </c>
      <c r="BY12" s="36">
        <v>86436</v>
      </c>
      <c r="BZ12" s="37">
        <f t="shared" si="31"/>
        <v>29720</v>
      </c>
      <c r="CA12" s="38">
        <v>10836</v>
      </c>
      <c r="CB12" s="39">
        <f t="shared" si="32"/>
        <v>105320</v>
      </c>
      <c r="CC12" s="37">
        <v>134237</v>
      </c>
      <c r="CD12" s="37">
        <v>112840</v>
      </c>
      <c r="CE12" s="37">
        <f t="shared" si="33"/>
        <v>21397</v>
      </c>
      <c r="CF12" s="37">
        <v>99580</v>
      </c>
      <c r="CG12" s="37">
        <f t="shared" si="34"/>
        <v>34657</v>
      </c>
      <c r="CH12" s="40">
        <v>13280</v>
      </c>
      <c r="CI12" s="39">
        <f t="shared" si="35"/>
        <v>120957</v>
      </c>
      <c r="CJ12" s="37">
        <v>146154</v>
      </c>
      <c r="CK12" s="37">
        <v>123081</v>
      </c>
      <c r="CL12" s="37">
        <f t="shared" si="36"/>
        <v>23073</v>
      </c>
      <c r="CM12" s="37">
        <v>108115</v>
      </c>
      <c r="CN12" s="37">
        <f t="shared" si="37"/>
        <v>38039</v>
      </c>
      <c r="CO12" s="40">
        <v>17435</v>
      </c>
      <c r="CP12" s="41">
        <f t="shared" si="38"/>
        <v>128719</v>
      </c>
      <c r="CQ12" s="37">
        <v>123079</v>
      </c>
      <c r="CR12" s="40">
        <v>20259</v>
      </c>
      <c r="CS12" s="41">
        <f t="shared" si="54"/>
        <v>102820</v>
      </c>
      <c r="CT12" s="37">
        <v>125120</v>
      </c>
      <c r="CU12" s="40">
        <v>19920</v>
      </c>
      <c r="CV12" s="41">
        <f t="shared" si="55"/>
        <v>105200</v>
      </c>
      <c r="CW12" s="37">
        <v>118331</v>
      </c>
      <c r="CX12" s="40">
        <v>6127</v>
      </c>
      <c r="CY12" s="41">
        <f t="shared" si="39"/>
        <v>112204</v>
      </c>
      <c r="CZ12" s="37">
        <v>102930</v>
      </c>
      <c r="DA12" s="40">
        <v>9885</v>
      </c>
      <c r="DB12" s="41">
        <f t="shared" si="40"/>
        <v>93045</v>
      </c>
      <c r="DC12" s="37">
        <v>115215</v>
      </c>
      <c r="DD12" s="40">
        <v>20360</v>
      </c>
      <c r="DE12" s="42">
        <f t="shared" si="41"/>
        <v>94855</v>
      </c>
    </row>
    <row r="13" spans="1:109" s="1" customFormat="1" ht="12.5" x14ac:dyDescent="0.25">
      <c r="A13" s="112" t="s">
        <v>35</v>
      </c>
      <c r="B13" s="122">
        <f>154258 + 35400</f>
        <v>189658</v>
      </c>
      <c r="C13" s="84">
        <f>136300+34360</f>
        <v>170660</v>
      </c>
      <c r="D13" s="29">
        <f t="shared" ref="D13" si="179">B13-C13</f>
        <v>18998</v>
      </c>
      <c r="E13" s="84">
        <f>116040+10120+28440+620</f>
        <v>155220</v>
      </c>
      <c r="F13" s="29">
        <f t="shared" ref="F13" si="180">B13-E13</f>
        <v>34438</v>
      </c>
      <c r="G13" s="65">
        <v>35400</v>
      </c>
      <c r="H13" s="116">
        <f t="shared" ref="H13" si="181">B13-G13</f>
        <v>154258</v>
      </c>
      <c r="I13" s="121"/>
      <c r="J13" s="80">
        <f>168040+130560</f>
        <v>298600</v>
      </c>
      <c r="K13" s="89">
        <f>145640+127480</f>
        <v>273120</v>
      </c>
      <c r="L13" s="90">
        <f t="shared" ref="L13" si="182">J13-K13</f>
        <v>25480</v>
      </c>
      <c r="M13" s="89">
        <f>124920+12389+123200+2100</f>
        <v>262609</v>
      </c>
      <c r="N13" s="90">
        <f t="shared" ref="N13" si="183">J13-M13</f>
        <v>35991</v>
      </c>
      <c r="O13" s="105">
        <v>130560</v>
      </c>
      <c r="P13" s="96">
        <f t="shared" ref="P13" si="184">J13-O13</f>
        <v>168040</v>
      </c>
      <c r="Q13" s="108"/>
      <c r="R13" s="80">
        <f>139417+67240</f>
        <v>206657</v>
      </c>
      <c r="S13" s="84">
        <f>114820+65880</f>
        <v>180700</v>
      </c>
      <c r="T13" s="29">
        <f t="shared" ref="T13" si="185">R13-S13</f>
        <v>25957</v>
      </c>
      <c r="U13" s="84">
        <f>89780+10300+62360+580</f>
        <v>163020</v>
      </c>
      <c r="V13" s="29">
        <f t="shared" ref="V13" si="186">R13-U13</f>
        <v>43637</v>
      </c>
      <c r="W13" s="65">
        <v>67240</v>
      </c>
      <c r="X13" s="31">
        <f t="shared" ref="X13" si="187">R13-W13</f>
        <v>139417</v>
      </c>
      <c r="Y13" s="83">
        <v>198600</v>
      </c>
      <c r="Z13" s="28">
        <v>169600</v>
      </c>
      <c r="AA13" s="29">
        <f t="shared" ref="AA13" si="188">Y13-Z13</f>
        <v>29000</v>
      </c>
      <c r="AB13" s="28">
        <v>157743</v>
      </c>
      <c r="AC13" s="29">
        <f t="shared" ref="AC13" si="189">Y13-AB13</f>
        <v>40857</v>
      </c>
      <c r="AD13" s="30">
        <v>23961</v>
      </c>
      <c r="AE13" s="31">
        <f t="shared" ref="AE13" si="190">Y13-AD13</f>
        <v>174639</v>
      </c>
      <c r="AF13" s="80">
        <v>193454</v>
      </c>
      <c r="AG13" s="71">
        <v>162502</v>
      </c>
      <c r="AH13" s="29">
        <f t="shared" ref="AH13" si="191">AF13-AG13</f>
        <v>30952</v>
      </c>
      <c r="AI13" s="28">
        <v>148480</v>
      </c>
      <c r="AJ13" s="29">
        <f t="shared" ref="AJ13" si="192">AF13-AI13</f>
        <v>44974</v>
      </c>
      <c r="AK13" s="30">
        <v>16615</v>
      </c>
      <c r="AL13" s="31">
        <f t="shared" ref="AL13" si="193">AF13-AK13</f>
        <v>176839</v>
      </c>
      <c r="AM13" s="64">
        <v>189996</v>
      </c>
      <c r="AN13" s="28">
        <v>165580</v>
      </c>
      <c r="AO13" s="29">
        <f t="shared" si="15"/>
        <v>24416</v>
      </c>
      <c r="AP13" s="28">
        <v>148916</v>
      </c>
      <c r="AQ13" s="29">
        <f t="shared" si="16"/>
        <v>41080</v>
      </c>
      <c r="AR13" s="65">
        <v>19854</v>
      </c>
      <c r="AS13" s="31">
        <f t="shared" si="17"/>
        <v>170142</v>
      </c>
      <c r="AT13" s="23">
        <v>178726</v>
      </c>
      <c r="AU13" s="19">
        <v>153192</v>
      </c>
      <c r="AV13" s="20">
        <f t="shared" si="18"/>
        <v>25534</v>
      </c>
      <c r="AW13" s="19">
        <v>126168</v>
      </c>
      <c r="AX13" s="20">
        <f t="shared" si="19"/>
        <v>52558</v>
      </c>
      <c r="AY13" s="21">
        <v>34048</v>
      </c>
      <c r="AZ13" s="22">
        <f t="shared" si="20"/>
        <v>144678</v>
      </c>
      <c r="BA13" s="23">
        <v>122280</v>
      </c>
      <c r="BB13" s="19">
        <v>103400</v>
      </c>
      <c r="BC13" s="20">
        <f t="shared" si="21"/>
        <v>18880</v>
      </c>
      <c r="BD13" s="19">
        <v>89840</v>
      </c>
      <c r="BE13" s="20">
        <f t="shared" si="22"/>
        <v>32440</v>
      </c>
      <c r="BF13" s="21">
        <v>10300</v>
      </c>
      <c r="BG13" s="22">
        <f t="shared" si="23"/>
        <v>111980</v>
      </c>
      <c r="BH13" s="23">
        <v>108598</v>
      </c>
      <c r="BI13" s="19">
        <v>91459</v>
      </c>
      <c r="BJ13" s="20">
        <f t="shared" si="24"/>
        <v>17139</v>
      </c>
      <c r="BK13" s="19">
        <v>79120</v>
      </c>
      <c r="BL13" s="20">
        <f t="shared" si="25"/>
        <v>29478</v>
      </c>
      <c r="BM13" s="21">
        <v>11040</v>
      </c>
      <c r="BN13" s="22">
        <f t="shared" si="26"/>
        <v>97558</v>
      </c>
      <c r="BO13" s="23">
        <v>145973</v>
      </c>
      <c r="BP13" s="24">
        <v>125255</v>
      </c>
      <c r="BQ13" s="20">
        <f t="shared" si="27"/>
        <v>20718</v>
      </c>
      <c r="BR13" s="24">
        <v>113900</v>
      </c>
      <c r="BS13" s="20">
        <f t="shared" si="28"/>
        <v>32073</v>
      </c>
      <c r="BT13" s="21">
        <v>9560</v>
      </c>
      <c r="BU13" s="34">
        <f t="shared" si="29"/>
        <v>136413</v>
      </c>
      <c r="BV13" s="35">
        <v>111457</v>
      </c>
      <c r="BW13" s="36">
        <v>94659</v>
      </c>
      <c r="BX13" s="37">
        <f t="shared" si="30"/>
        <v>16798</v>
      </c>
      <c r="BY13" s="36">
        <v>82119</v>
      </c>
      <c r="BZ13" s="37">
        <f t="shared" si="31"/>
        <v>29338</v>
      </c>
      <c r="CA13" s="38">
        <v>8879</v>
      </c>
      <c r="CB13" s="39">
        <f t="shared" si="32"/>
        <v>102578</v>
      </c>
      <c r="CC13" s="37">
        <v>140944</v>
      </c>
      <c r="CD13" s="37">
        <v>119949</v>
      </c>
      <c r="CE13" s="37">
        <f t="shared" si="33"/>
        <v>20995</v>
      </c>
      <c r="CF13" s="37">
        <v>104407</v>
      </c>
      <c r="CG13" s="37">
        <f t="shared" si="34"/>
        <v>36537</v>
      </c>
      <c r="CH13" s="40">
        <v>22520</v>
      </c>
      <c r="CI13" s="39">
        <f t="shared" si="35"/>
        <v>118424</v>
      </c>
      <c r="CJ13" s="37">
        <v>141013</v>
      </c>
      <c r="CK13" s="37">
        <v>122279</v>
      </c>
      <c r="CL13" s="37">
        <f t="shared" si="36"/>
        <v>18734</v>
      </c>
      <c r="CM13" s="37">
        <v>98880</v>
      </c>
      <c r="CN13" s="37">
        <f t="shared" si="37"/>
        <v>42133</v>
      </c>
      <c r="CO13" s="40">
        <v>24397</v>
      </c>
      <c r="CP13" s="41">
        <f t="shared" si="38"/>
        <v>116616</v>
      </c>
      <c r="CQ13" s="37">
        <v>115881</v>
      </c>
      <c r="CR13" s="40">
        <v>20740</v>
      </c>
      <c r="CS13" s="41">
        <f t="shared" si="54"/>
        <v>95141</v>
      </c>
      <c r="CT13" s="37">
        <v>125008</v>
      </c>
      <c r="CU13" s="40">
        <v>26080</v>
      </c>
      <c r="CV13" s="41">
        <f t="shared" si="55"/>
        <v>98928</v>
      </c>
      <c r="CW13" s="37">
        <v>123202</v>
      </c>
      <c r="CX13" s="40">
        <v>6800</v>
      </c>
      <c r="CY13" s="41">
        <f t="shared" si="39"/>
        <v>116402</v>
      </c>
      <c r="CZ13" s="37">
        <v>112010</v>
      </c>
      <c r="DA13" s="40">
        <v>17840</v>
      </c>
      <c r="DB13" s="41">
        <f t="shared" si="40"/>
        <v>94170</v>
      </c>
      <c r="DC13" s="37">
        <v>119849</v>
      </c>
      <c r="DD13" s="40">
        <v>18879</v>
      </c>
      <c r="DE13" s="42">
        <f t="shared" si="41"/>
        <v>100970</v>
      </c>
    </row>
    <row r="14" spans="1:109" s="1" customFormat="1" ht="12.5" x14ac:dyDescent="0.25">
      <c r="A14" s="112" t="s">
        <v>36</v>
      </c>
      <c r="B14" s="122">
        <f>154940+36100</f>
        <v>191040</v>
      </c>
      <c r="C14" s="84">
        <f>138500+35000</f>
        <v>173500</v>
      </c>
      <c r="D14" s="29">
        <f t="shared" ref="D14" si="194">B14-C14</f>
        <v>17540</v>
      </c>
      <c r="E14" s="84">
        <f>114960+8280+29640+880</f>
        <v>153760</v>
      </c>
      <c r="F14" s="29">
        <f t="shared" ref="F14" si="195">B14-E14</f>
        <v>37280</v>
      </c>
      <c r="G14" s="65">
        <v>36100</v>
      </c>
      <c r="H14" s="116">
        <f t="shared" ref="H14" si="196">B14-G14</f>
        <v>154940</v>
      </c>
      <c r="I14" s="121"/>
      <c r="J14" s="80">
        <f>172315+130240</f>
        <v>302555</v>
      </c>
      <c r="K14" s="89">
        <f>146720+127120</f>
        <v>273840</v>
      </c>
      <c r="L14" s="90">
        <f t="shared" ref="L14" si="197">J14-K14</f>
        <v>28715</v>
      </c>
      <c r="M14" s="89">
        <f>123680+14062+123400+2380</f>
        <v>263522</v>
      </c>
      <c r="N14" s="90">
        <f t="shared" ref="N14" si="198">J14-M14</f>
        <v>39033</v>
      </c>
      <c r="O14" s="105">
        <v>130240</v>
      </c>
      <c r="P14" s="96">
        <f t="shared" ref="P14" si="199">J14-O14</f>
        <v>172315</v>
      </c>
      <c r="Q14" s="108"/>
      <c r="R14" s="80">
        <f>139621+39300</f>
        <v>178921</v>
      </c>
      <c r="S14" s="84">
        <f>118340+37800</f>
        <v>156140</v>
      </c>
      <c r="T14" s="29">
        <f t="shared" ref="T14" si="200">R14-S14</f>
        <v>22781</v>
      </c>
      <c r="U14" s="84">
        <f>94180+9540+34280+720</f>
        <v>138720</v>
      </c>
      <c r="V14" s="29">
        <f t="shared" ref="V14" si="201">R14-U14</f>
        <v>40201</v>
      </c>
      <c r="W14" s="65">
        <v>37800</v>
      </c>
      <c r="X14" s="31">
        <f t="shared" ref="X14" si="202">R14-W14</f>
        <v>141121</v>
      </c>
      <c r="Y14" s="83">
        <v>204190</v>
      </c>
      <c r="Z14" s="28">
        <v>173200</v>
      </c>
      <c r="AA14" s="29">
        <f t="shared" ref="AA14" si="203">Y14-Z14</f>
        <v>30990</v>
      </c>
      <c r="AB14" s="28">
        <v>161511</v>
      </c>
      <c r="AC14" s="29">
        <f t="shared" ref="AC14" si="204">Y14-AB14</f>
        <v>42679</v>
      </c>
      <c r="AD14" s="30">
        <v>38860</v>
      </c>
      <c r="AE14" s="31">
        <f t="shared" ref="AE14" si="205">Y14-AD14</f>
        <v>165330</v>
      </c>
      <c r="AF14" s="80">
        <v>191399</v>
      </c>
      <c r="AG14" s="71">
        <v>161719</v>
      </c>
      <c r="AH14" s="29">
        <f t="shared" ref="AH14" si="206">AF14-AG14</f>
        <v>29680</v>
      </c>
      <c r="AI14" s="28">
        <v>147540</v>
      </c>
      <c r="AJ14" s="29">
        <f t="shared" ref="AJ14" si="207">AF14-AI14</f>
        <v>43859</v>
      </c>
      <c r="AK14" s="30">
        <v>15040</v>
      </c>
      <c r="AL14" s="31">
        <f t="shared" ref="AL14" si="208">AF14-AK14</f>
        <v>176359</v>
      </c>
      <c r="AM14" s="64">
        <v>188708</v>
      </c>
      <c r="AN14" s="28">
        <v>162000</v>
      </c>
      <c r="AO14" s="29">
        <f t="shared" si="15"/>
        <v>26708</v>
      </c>
      <c r="AP14" s="28">
        <v>151848</v>
      </c>
      <c r="AQ14" s="29">
        <f t="shared" si="16"/>
        <v>36860</v>
      </c>
      <c r="AR14" s="65">
        <v>18200</v>
      </c>
      <c r="AS14" s="31">
        <f t="shared" si="17"/>
        <v>170508</v>
      </c>
      <c r="AT14" s="23">
        <v>166295</v>
      </c>
      <c r="AU14" s="19">
        <v>141128</v>
      </c>
      <c r="AV14" s="20">
        <f t="shared" si="18"/>
        <v>25167</v>
      </c>
      <c r="AW14" s="19">
        <v>123347</v>
      </c>
      <c r="AX14" s="20">
        <f t="shared" si="19"/>
        <v>42948</v>
      </c>
      <c r="AY14" s="21">
        <v>22245</v>
      </c>
      <c r="AZ14" s="22">
        <f t="shared" si="20"/>
        <v>144050</v>
      </c>
      <c r="BA14" s="23">
        <v>133419</v>
      </c>
      <c r="BB14" s="19">
        <v>114019</v>
      </c>
      <c r="BC14" s="20">
        <f t="shared" si="21"/>
        <v>19400</v>
      </c>
      <c r="BD14" s="19">
        <v>98720</v>
      </c>
      <c r="BE14" s="20">
        <f t="shared" si="22"/>
        <v>34699</v>
      </c>
      <c r="BF14" s="21">
        <v>15960</v>
      </c>
      <c r="BG14" s="22">
        <f t="shared" si="23"/>
        <v>117459</v>
      </c>
      <c r="BH14" s="23">
        <v>106738</v>
      </c>
      <c r="BI14" s="19">
        <v>91780</v>
      </c>
      <c r="BJ14" s="20">
        <f t="shared" si="24"/>
        <v>14958</v>
      </c>
      <c r="BK14" s="19">
        <v>81799</v>
      </c>
      <c r="BL14" s="20">
        <f t="shared" si="25"/>
        <v>24939</v>
      </c>
      <c r="BM14" s="21">
        <v>9199</v>
      </c>
      <c r="BN14" s="22">
        <f t="shared" si="26"/>
        <v>97539</v>
      </c>
      <c r="BO14" s="23">
        <v>142210</v>
      </c>
      <c r="BP14" s="24">
        <v>124258</v>
      </c>
      <c r="BQ14" s="20">
        <f t="shared" si="27"/>
        <v>17952</v>
      </c>
      <c r="BR14" s="24">
        <v>110420</v>
      </c>
      <c r="BS14" s="20">
        <f t="shared" si="28"/>
        <v>31790</v>
      </c>
      <c r="BT14" s="21">
        <v>14440</v>
      </c>
      <c r="BU14" s="34">
        <f t="shared" si="29"/>
        <v>127770</v>
      </c>
      <c r="BV14" s="35">
        <v>110880</v>
      </c>
      <c r="BW14" s="36">
        <v>94720</v>
      </c>
      <c r="BX14" s="37">
        <f t="shared" si="30"/>
        <v>16160</v>
      </c>
      <c r="BY14" s="36">
        <v>82800</v>
      </c>
      <c r="BZ14" s="37">
        <f t="shared" si="31"/>
        <v>28080</v>
      </c>
      <c r="CA14" s="38">
        <v>9980</v>
      </c>
      <c r="CB14" s="39">
        <f t="shared" si="32"/>
        <v>100900</v>
      </c>
      <c r="CC14" s="37">
        <v>130808</v>
      </c>
      <c r="CD14" s="37">
        <v>110339</v>
      </c>
      <c r="CE14" s="37">
        <f t="shared" si="33"/>
        <v>20469</v>
      </c>
      <c r="CF14" s="37">
        <v>95089</v>
      </c>
      <c r="CG14" s="37">
        <f t="shared" si="34"/>
        <v>35719</v>
      </c>
      <c r="CH14" s="40">
        <v>16739</v>
      </c>
      <c r="CI14" s="39">
        <f t="shared" si="35"/>
        <v>114069</v>
      </c>
      <c r="CJ14" s="37">
        <v>128159</v>
      </c>
      <c r="CK14" s="37">
        <v>110040</v>
      </c>
      <c r="CL14" s="37">
        <f t="shared" si="36"/>
        <v>18119</v>
      </c>
      <c r="CM14" s="37">
        <v>93926</v>
      </c>
      <c r="CN14" s="37">
        <f t="shared" si="37"/>
        <v>34233</v>
      </c>
      <c r="CO14" s="40">
        <v>15215</v>
      </c>
      <c r="CP14" s="41">
        <f t="shared" si="38"/>
        <v>112944</v>
      </c>
      <c r="CQ14" s="37">
        <v>100726</v>
      </c>
      <c r="CR14" s="40">
        <v>13940</v>
      </c>
      <c r="CS14" s="41">
        <f t="shared" si="54"/>
        <v>86786</v>
      </c>
      <c r="CT14" s="37">
        <v>130180</v>
      </c>
      <c r="CU14" s="40">
        <v>29061</v>
      </c>
      <c r="CV14" s="41">
        <f t="shared" si="55"/>
        <v>101119</v>
      </c>
      <c r="CW14" s="37">
        <v>135606</v>
      </c>
      <c r="CX14" s="40">
        <v>18046</v>
      </c>
      <c r="CY14" s="41">
        <f t="shared" si="39"/>
        <v>117560</v>
      </c>
      <c r="CZ14" s="37">
        <v>104761</v>
      </c>
      <c r="DA14" s="40">
        <v>15743</v>
      </c>
      <c r="DB14" s="41">
        <f t="shared" si="40"/>
        <v>89018</v>
      </c>
      <c r="DC14" s="37">
        <v>107286</v>
      </c>
      <c r="DD14" s="40">
        <v>15605</v>
      </c>
      <c r="DE14" s="42">
        <f t="shared" si="41"/>
        <v>91681</v>
      </c>
    </row>
    <row r="15" spans="1:109" s="1" customFormat="1" ht="12.5" x14ac:dyDescent="0.25">
      <c r="A15" s="112" t="s">
        <v>37</v>
      </c>
      <c r="B15" s="122">
        <f>157740+34198</f>
        <v>191938</v>
      </c>
      <c r="C15" s="84">
        <f>141580+32880</f>
        <v>174460</v>
      </c>
      <c r="D15" s="29">
        <f t="shared" ref="D15" si="209">B15-C15</f>
        <v>17478</v>
      </c>
      <c r="E15" s="84">
        <f>119180+8860+28240+940</f>
        <v>157220</v>
      </c>
      <c r="F15" s="29">
        <f t="shared" ref="F15" si="210">B15-E15</f>
        <v>34718</v>
      </c>
      <c r="G15" s="65">
        <v>34198</v>
      </c>
      <c r="H15" s="116">
        <f t="shared" ref="H15" si="211">B15-G15</f>
        <v>157740</v>
      </c>
      <c r="I15" s="121"/>
      <c r="J15" s="80">
        <f>166319+124238</f>
        <v>290557</v>
      </c>
      <c r="K15" s="89">
        <f>144579+120840</f>
        <v>265419</v>
      </c>
      <c r="L15" s="90">
        <f t="shared" ref="L15" si="212">J15-K15</f>
        <v>25138</v>
      </c>
      <c r="M15" s="89">
        <f>121320+11760+114800+2258</f>
        <v>250138</v>
      </c>
      <c r="N15" s="90">
        <f t="shared" ref="N15" si="213">J15-M15</f>
        <v>40419</v>
      </c>
      <c r="O15" s="105">
        <v>124238</v>
      </c>
      <c r="P15" s="96">
        <f t="shared" ref="P15" si="214">J15-O15</f>
        <v>166319</v>
      </c>
      <c r="Q15" s="108"/>
      <c r="R15" s="80">
        <f>139850+48439</f>
        <v>188289</v>
      </c>
      <c r="S15" s="84">
        <f>119780+46480</f>
        <v>166260</v>
      </c>
      <c r="T15" s="29">
        <f t="shared" ref="T15" si="215">R15-S15</f>
        <v>22029</v>
      </c>
      <c r="U15" s="84">
        <f>96140+7930+42520+579</f>
        <v>147169</v>
      </c>
      <c r="V15" s="29">
        <f t="shared" ref="V15" si="216">R15-U15</f>
        <v>41120</v>
      </c>
      <c r="W15" s="65">
        <v>48439</v>
      </c>
      <c r="X15" s="31">
        <f t="shared" ref="X15" si="217">R15-W15</f>
        <v>139850</v>
      </c>
      <c r="Y15" s="83">
        <v>192979</v>
      </c>
      <c r="Z15" s="28">
        <v>164381</v>
      </c>
      <c r="AA15" s="29">
        <f t="shared" ref="AA15" si="218">Y15-Z15</f>
        <v>28598</v>
      </c>
      <c r="AB15" s="28">
        <v>155950</v>
      </c>
      <c r="AC15" s="29">
        <f t="shared" ref="AC15" si="219">Y15-AB15</f>
        <v>37029</v>
      </c>
      <c r="AD15" s="30">
        <v>23461</v>
      </c>
      <c r="AE15" s="31">
        <f t="shared" ref="AE15" si="220">Y15-AD15</f>
        <v>169518</v>
      </c>
      <c r="AF15" s="80">
        <v>190599</v>
      </c>
      <c r="AG15" s="71">
        <v>160960</v>
      </c>
      <c r="AH15" s="29">
        <f t="shared" ref="AH15" si="221">AF15-AG15</f>
        <v>29639</v>
      </c>
      <c r="AI15" s="28">
        <v>154860</v>
      </c>
      <c r="AJ15" s="29">
        <f t="shared" ref="AJ15" si="222">AF15-AI15</f>
        <v>35739</v>
      </c>
      <c r="AK15" s="30">
        <v>19820</v>
      </c>
      <c r="AL15" s="31">
        <f t="shared" ref="AL15" si="223">AF15-AK15</f>
        <v>170779</v>
      </c>
      <c r="AM15" s="64">
        <v>189913</v>
      </c>
      <c r="AN15" s="28">
        <v>165561</v>
      </c>
      <c r="AO15" s="29">
        <f t="shared" si="15"/>
        <v>24352</v>
      </c>
      <c r="AP15" s="28">
        <v>154233</v>
      </c>
      <c r="AQ15" s="29">
        <f t="shared" si="16"/>
        <v>35680</v>
      </c>
      <c r="AR15" s="65">
        <v>15513</v>
      </c>
      <c r="AS15" s="31">
        <f t="shared" si="17"/>
        <v>174400</v>
      </c>
      <c r="AT15" s="23">
        <v>172295</v>
      </c>
      <c r="AU15" s="19">
        <v>148740</v>
      </c>
      <c r="AV15" s="20">
        <f t="shared" si="18"/>
        <v>23555</v>
      </c>
      <c r="AW15" s="19">
        <v>124380</v>
      </c>
      <c r="AX15" s="20">
        <f t="shared" si="19"/>
        <v>47915</v>
      </c>
      <c r="AY15" s="21">
        <v>22620</v>
      </c>
      <c r="AZ15" s="22">
        <f t="shared" si="20"/>
        <v>149675</v>
      </c>
      <c r="BA15" s="23">
        <v>126598</v>
      </c>
      <c r="BB15" s="19">
        <v>105840</v>
      </c>
      <c r="BC15" s="20">
        <f t="shared" si="21"/>
        <v>20758</v>
      </c>
      <c r="BD15" s="19">
        <v>89760</v>
      </c>
      <c r="BE15" s="20">
        <f t="shared" si="22"/>
        <v>36838</v>
      </c>
      <c r="BF15" s="21">
        <v>11400</v>
      </c>
      <c r="BG15" s="22">
        <f t="shared" si="23"/>
        <v>115198</v>
      </c>
      <c r="BH15" s="23">
        <v>111839</v>
      </c>
      <c r="BI15" s="19">
        <v>97380</v>
      </c>
      <c r="BJ15" s="20">
        <f t="shared" si="24"/>
        <v>14459</v>
      </c>
      <c r="BK15" s="19">
        <v>82799</v>
      </c>
      <c r="BL15" s="20">
        <f t="shared" si="25"/>
        <v>29040</v>
      </c>
      <c r="BM15" s="21">
        <v>7300</v>
      </c>
      <c r="BN15" s="22">
        <f t="shared" si="26"/>
        <v>104539</v>
      </c>
      <c r="BO15" s="23">
        <v>150415</v>
      </c>
      <c r="BP15" s="24">
        <v>126938</v>
      </c>
      <c r="BQ15" s="20">
        <f t="shared" si="27"/>
        <v>23477</v>
      </c>
      <c r="BR15" s="24">
        <v>114760</v>
      </c>
      <c r="BS15" s="20">
        <f t="shared" si="28"/>
        <v>35655</v>
      </c>
      <c r="BT15" s="21">
        <v>18218</v>
      </c>
      <c r="BU15" s="34">
        <f t="shared" si="29"/>
        <v>132197</v>
      </c>
      <c r="BV15" s="35">
        <v>108958</v>
      </c>
      <c r="BW15" s="36">
        <v>96241</v>
      </c>
      <c r="BX15" s="37">
        <f t="shared" si="30"/>
        <v>12717</v>
      </c>
      <c r="BY15" s="36">
        <v>79121</v>
      </c>
      <c r="BZ15" s="37">
        <f t="shared" si="31"/>
        <v>29837</v>
      </c>
      <c r="CA15" s="38">
        <v>25520</v>
      </c>
      <c r="CB15" s="39">
        <f t="shared" si="32"/>
        <v>83438</v>
      </c>
      <c r="CC15" s="37">
        <v>117489</v>
      </c>
      <c r="CD15" s="37">
        <v>100499</v>
      </c>
      <c r="CE15" s="37">
        <f t="shared" si="33"/>
        <v>16990</v>
      </c>
      <c r="CF15" s="37">
        <v>87910</v>
      </c>
      <c r="CG15" s="37">
        <f t="shared" si="34"/>
        <v>29579</v>
      </c>
      <c r="CH15" s="40">
        <v>13040</v>
      </c>
      <c r="CI15" s="39">
        <f t="shared" si="35"/>
        <v>104449</v>
      </c>
      <c r="CJ15" s="37">
        <v>146155</v>
      </c>
      <c r="CK15" s="37">
        <v>122000</v>
      </c>
      <c r="CL15" s="37">
        <f t="shared" si="36"/>
        <v>24155</v>
      </c>
      <c r="CM15" s="37">
        <v>108186</v>
      </c>
      <c r="CN15" s="37">
        <f t="shared" si="37"/>
        <v>37969</v>
      </c>
      <c r="CO15" s="40">
        <v>19420</v>
      </c>
      <c r="CP15" s="41">
        <f t="shared" si="38"/>
        <v>126735</v>
      </c>
      <c r="CQ15" s="37">
        <v>94798</v>
      </c>
      <c r="CR15" s="40">
        <v>11280</v>
      </c>
      <c r="CS15" s="41">
        <f t="shared" si="54"/>
        <v>83518</v>
      </c>
      <c r="CT15" s="37">
        <v>114537</v>
      </c>
      <c r="CU15" s="40">
        <v>21340</v>
      </c>
      <c r="CV15" s="41">
        <f t="shared" si="55"/>
        <v>93197</v>
      </c>
      <c r="CW15" s="37">
        <v>142889</v>
      </c>
      <c r="CX15" s="40">
        <v>21481</v>
      </c>
      <c r="CY15" s="41">
        <f>CW15-CX15</f>
        <v>121408</v>
      </c>
      <c r="CZ15" s="37">
        <v>100179</v>
      </c>
      <c r="DA15" s="40">
        <v>8305</v>
      </c>
      <c r="DB15" s="41">
        <f>CZ15-DA15</f>
        <v>91874</v>
      </c>
      <c r="DC15" s="37">
        <v>110652</v>
      </c>
      <c r="DD15" s="40">
        <v>4099</v>
      </c>
      <c r="DE15" s="42">
        <f>DC15-DD15</f>
        <v>106553</v>
      </c>
    </row>
    <row r="16" spans="1:109" s="1" customFormat="1" ht="12.5" x14ac:dyDescent="0.25">
      <c r="A16" s="112" t="s">
        <v>38</v>
      </c>
      <c r="B16" s="122">
        <f>155959+39260</f>
        <v>195219</v>
      </c>
      <c r="C16" s="84">
        <f>138840+38700</f>
        <v>177540</v>
      </c>
      <c r="D16" s="29">
        <f t="shared" ref="D16" si="224">B16-C16</f>
        <v>17679</v>
      </c>
      <c r="E16" s="84">
        <f>116600+10840+33760+320</f>
        <v>161520</v>
      </c>
      <c r="F16" s="29">
        <f t="shared" ref="F16" si="225">B16-E16</f>
        <v>33699</v>
      </c>
      <c r="G16" s="65">
        <v>39260</v>
      </c>
      <c r="H16" s="116">
        <f t="shared" ref="H16" si="226">B16-G16</f>
        <v>155959</v>
      </c>
      <c r="I16" s="121"/>
      <c r="J16" s="80">
        <f>169300+127798</f>
        <v>297098</v>
      </c>
      <c r="K16" s="89">
        <f>150200+124400</f>
        <v>274600</v>
      </c>
      <c r="L16" s="90">
        <f t="shared" ref="L16" si="227">J16-K16</f>
        <v>22498</v>
      </c>
      <c r="M16" s="89">
        <f>129520+11140+119640+2299</f>
        <v>262599</v>
      </c>
      <c r="N16" s="90">
        <f t="shared" ref="N16" si="228">J16-M16</f>
        <v>34499</v>
      </c>
      <c r="O16" s="105">
        <v>127798</v>
      </c>
      <c r="P16" s="96">
        <f t="shared" ref="P16" si="229">J16-O16</f>
        <v>169300</v>
      </c>
      <c r="Q16" s="108"/>
      <c r="R16" s="80">
        <f>139997+55197</f>
        <v>195194</v>
      </c>
      <c r="S16" s="84">
        <f>118100+50520</f>
        <v>168620</v>
      </c>
      <c r="T16" s="29">
        <f t="shared" ref="T16" si="230">R16-S16</f>
        <v>26574</v>
      </c>
      <c r="U16" s="84">
        <f>94380+8820+45520+520</f>
        <v>149240</v>
      </c>
      <c r="V16" s="29">
        <f t="shared" ref="V16" si="231">R16-U16</f>
        <v>45954</v>
      </c>
      <c r="W16" s="65">
        <v>55197</v>
      </c>
      <c r="X16" s="31">
        <f t="shared" ref="X16" si="232">R16-W16</f>
        <v>139997</v>
      </c>
      <c r="Y16" s="83">
        <v>191157</v>
      </c>
      <c r="Z16" s="28">
        <v>163479</v>
      </c>
      <c r="AA16" s="29">
        <f t="shared" ref="AA16" si="233">Y16-Z16</f>
        <v>27678</v>
      </c>
      <c r="AB16" s="28">
        <v>151743</v>
      </c>
      <c r="AC16" s="29">
        <f t="shared" ref="AC16" si="234">Y16-AB16</f>
        <v>39414</v>
      </c>
      <c r="AD16" s="30">
        <v>20842</v>
      </c>
      <c r="AE16" s="31">
        <f t="shared" ref="AE16" si="235">Y16-AD16</f>
        <v>170315</v>
      </c>
      <c r="AF16" s="80">
        <v>194397</v>
      </c>
      <c r="AG16" s="71">
        <v>166023</v>
      </c>
      <c r="AH16" s="29">
        <f t="shared" ref="AH16" si="236">AF16-AG16</f>
        <v>28374</v>
      </c>
      <c r="AI16" s="28">
        <v>154720</v>
      </c>
      <c r="AJ16" s="29">
        <f t="shared" ref="AJ16" si="237">AF16-AI16</f>
        <v>39677</v>
      </c>
      <c r="AK16" s="30">
        <v>22755</v>
      </c>
      <c r="AL16" s="31">
        <f t="shared" ref="AL16" si="238">AF16-AK16</f>
        <v>171642</v>
      </c>
      <c r="AM16" s="64">
        <v>212790</v>
      </c>
      <c r="AN16" s="28">
        <v>185500</v>
      </c>
      <c r="AO16" s="29">
        <f t="shared" si="15"/>
        <v>27290</v>
      </c>
      <c r="AP16" s="28">
        <v>172753</v>
      </c>
      <c r="AQ16" s="29">
        <f t="shared" si="16"/>
        <v>40037</v>
      </c>
      <c r="AR16" s="65">
        <v>44563</v>
      </c>
      <c r="AS16" s="31">
        <f t="shared" si="17"/>
        <v>168227</v>
      </c>
      <c r="AT16" s="23">
        <v>173514</v>
      </c>
      <c r="AU16" s="19">
        <v>148224</v>
      </c>
      <c r="AV16" s="20">
        <f t="shared" si="18"/>
        <v>25290</v>
      </c>
      <c r="AW16" s="19">
        <v>122874</v>
      </c>
      <c r="AX16" s="20">
        <f t="shared" si="19"/>
        <v>50640</v>
      </c>
      <c r="AY16" s="21">
        <v>31904</v>
      </c>
      <c r="AZ16" s="22">
        <f t="shared" si="20"/>
        <v>141610</v>
      </c>
      <c r="BA16" s="23">
        <v>129007</v>
      </c>
      <c r="BB16" s="19">
        <v>110640</v>
      </c>
      <c r="BC16" s="20">
        <f t="shared" si="21"/>
        <v>18367</v>
      </c>
      <c r="BD16" s="19">
        <v>93380</v>
      </c>
      <c r="BE16" s="20">
        <f t="shared" si="22"/>
        <v>35627</v>
      </c>
      <c r="BF16" s="21">
        <v>12580</v>
      </c>
      <c r="BG16" s="22">
        <f t="shared" si="23"/>
        <v>116427</v>
      </c>
      <c r="BH16" s="23">
        <v>117718</v>
      </c>
      <c r="BI16" s="19">
        <v>101994</v>
      </c>
      <c r="BJ16" s="20">
        <f t="shared" si="24"/>
        <v>15724</v>
      </c>
      <c r="BK16" s="19">
        <v>91880</v>
      </c>
      <c r="BL16" s="20">
        <f t="shared" si="25"/>
        <v>25838</v>
      </c>
      <c r="BM16" s="21">
        <v>7040</v>
      </c>
      <c r="BN16" s="22">
        <f t="shared" si="26"/>
        <v>110678</v>
      </c>
      <c r="BO16" s="23">
        <v>151648</v>
      </c>
      <c r="BP16" s="24">
        <v>132360</v>
      </c>
      <c r="BQ16" s="20">
        <f t="shared" si="27"/>
        <v>19288</v>
      </c>
      <c r="BR16" s="24">
        <v>118721</v>
      </c>
      <c r="BS16" s="20">
        <f t="shared" si="28"/>
        <v>32927</v>
      </c>
      <c r="BT16" s="21">
        <v>20500</v>
      </c>
      <c r="BU16" s="34">
        <f t="shared" si="29"/>
        <v>131148</v>
      </c>
      <c r="BV16" s="35">
        <v>103540</v>
      </c>
      <c r="BW16" s="36">
        <v>90020</v>
      </c>
      <c r="BX16" s="37">
        <f t="shared" si="30"/>
        <v>13520</v>
      </c>
      <c r="BY16" s="36">
        <v>77540</v>
      </c>
      <c r="BZ16" s="37">
        <f t="shared" si="31"/>
        <v>26000</v>
      </c>
      <c r="CA16" s="38">
        <v>20260</v>
      </c>
      <c r="CB16" s="39">
        <f t="shared" si="32"/>
        <v>83280</v>
      </c>
      <c r="CC16" s="37">
        <v>133310</v>
      </c>
      <c r="CD16" s="37">
        <v>112499</v>
      </c>
      <c r="CE16" s="37">
        <f t="shared" si="33"/>
        <v>20811</v>
      </c>
      <c r="CF16" s="37">
        <v>100433</v>
      </c>
      <c r="CG16" s="37">
        <f t="shared" si="34"/>
        <v>32877</v>
      </c>
      <c r="CH16" s="40">
        <v>18291</v>
      </c>
      <c r="CI16" s="39">
        <f t="shared" si="35"/>
        <v>115019</v>
      </c>
      <c r="CJ16" s="37">
        <v>140689</v>
      </c>
      <c r="CK16" s="37">
        <v>121098</v>
      </c>
      <c r="CL16" s="37">
        <f t="shared" si="36"/>
        <v>19591</v>
      </c>
      <c r="CM16" s="37">
        <v>99936</v>
      </c>
      <c r="CN16" s="37">
        <f t="shared" si="37"/>
        <v>40753</v>
      </c>
      <c r="CO16" s="40">
        <v>19378</v>
      </c>
      <c r="CP16" s="41">
        <f t="shared" si="38"/>
        <v>121311</v>
      </c>
      <c r="CQ16" s="37">
        <v>92294</v>
      </c>
      <c r="CR16" s="40">
        <v>18579</v>
      </c>
      <c r="CS16" s="41">
        <f t="shared" si="54"/>
        <v>73715</v>
      </c>
      <c r="CT16" s="37">
        <v>102149</v>
      </c>
      <c r="CU16" s="40">
        <v>13928</v>
      </c>
      <c r="CV16" s="41">
        <f t="shared" si="55"/>
        <v>88221</v>
      </c>
      <c r="CW16" s="37">
        <v>135418</v>
      </c>
      <c r="CX16" s="40">
        <v>7231</v>
      </c>
      <c r="CY16" s="41">
        <f>CW16-CX16</f>
        <v>128187</v>
      </c>
      <c r="CZ16" s="37">
        <v>90584</v>
      </c>
      <c r="DA16" s="40">
        <v>8160</v>
      </c>
      <c r="DB16" s="41">
        <f>CZ16-DA16</f>
        <v>82424</v>
      </c>
      <c r="DC16" s="37">
        <v>112251</v>
      </c>
      <c r="DD16" s="40">
        <v>11439</v>
      </c>
      <c r="DE16" s="42">
        <f>DC16-DD16</f>
        <v>100812</v>
      </c>
    </row>
    <row r="17" spans="1:109" s="1" customFormat="1" ht="12.5" x14ac:dyDescent="0.25">
      <c r="A17" s="112" t="s">
        <v>39</v>
      </c>
      <c r="B17" s="122">
        <f>158559+42620</f>
        <v>201179</v>
      </c>
      <c r="C17" s="84">
        <f>139300+41560</f>
        <v>180860</v>
      </c>
      <c r="D17" s="29">
        <f t="shared" ref="D17" si="239">B17-C17</f>
        <v>20319</v>
      </c>
      <c r="E17" s="84">
        <f>118440+10480+35880+700</f>
        <v>165500</v>
      </c>
      <c r="F17" s="29">
        <f t="shared" ref="F17" si="240">B17-E17</f>
        <v>35679</v>
      </c>
      <c r="G17" s="65">
        <v>42620</v>
      </c>
      <c r="H17" s="116">
        <f t="shared" ref="H17" si="241">B17-G17</f>
        <v>158559</v>
      </c>
      <c r="I17" s="121"/>
      <c r="J17" s="80">
        <f>167999+82178</f>
        <v>250177</v>
      </c>
      <c r="K17" s="89">
        <f>146280+78000</f>
        <v>224280</v>
      </c>
      <c r="L17" s="90">
        <f t="shared" ref="L17" si="242">J17-K17</f>
        <v>25897</v>
      </c>
      <c r="M17" s="89">
        <f>124600+12020+72360+3160</f>
        <v>212140</v>
      </c>
      <c r="N17" s="90">
        <f t="shared" ref="N17" si="243">J17-M17</f>
        <v>38037</v>
      </c>
      <c r="O17" s="105">
        <v>82178</v>
      </c>
      <c r="P17" s="96">
        <f t="shared" ref="P17" si="244">J17-O17</f>
        <v>167999</v>
      </c>
      <c r="Q17" s="108"/>
      <c r="R17" s="80">
        <f>138478+44740</f>
        <v>183218</v>
      </c>
      <c r="S17" s="84">
        <f>119340+43680</f>
        <v>163020</v>
      </c>
      <c r="T17" s="29">
        <f t="shared" ref="T17" si="245">R17-S17</f>
        <v>20198</v>
      </c>
      <c r="U17" s="84">
        <f>95060+8479+39400+600</f>
        <v>143539</v>
      </c>
      <c r="V17" s="29">
        <f t="shared" ref="V17" si="246">R17-U17</f>
        <v>39679</v>
      </c>
      <c r="W17" s="65">
        <v>44740</v>
      </c>
      <c r="X17" s="31">
        <f t="shared" ref="X17" si="247">R17-W17</f>
        <v>138478</v>
      </c>
      <c r="Y17" s="83">
        <v>190455</v>
      </c>
      <c r="Z17" s="28">
        <v>163761</v>
      </c>
      <c r="AA17" s="29">
        <f t="shared" ref="AA17" si="248">Y17-Z17</f>
        <v>26694</v>
      </c>
      <c r="AB17" s="28">
        <v>156260</v>
      </c>
      <c r="AC17" s="29">
        <f t="shared" ref="AC17" si="249">Y17-AB17</f>
        <v>34195</v>
      </c>
      <c r="AD17" s="30">
        <v>24100</v>
      </c>
      <c r="AE17" s="31">
        <f t="shared" ref="AE17" si="250">Y17-AD17</f>
        <v>166355</v>
      </c>
      <c r="AF17" s="80">
        <v>191679</v>
      </c>
      <c r="AG17" s="71">
        <v>161060</v>
      </c>
      <c r="AH17" s="29">
        <f t="shared" ref="AH17" si="251">AF17-AG17</f>
        <v>30619</v>
      </c>
      <c r="AI17" s="28">
        <v>149920</v>
      </c>
      <c r="AJ17" s="29">
        <f t="shared" ref="AJ17" si="252">AF17-AI17</f>
        <v>41759</v>
      </c>
      <c r="AK17" s="30">
        <v>21760</v>
      </c>
      <c r="AL17" s="31">
        <f t="shared" ref="AL17" si="253">AF17-AK17</f>
        <v>169919</v>
      </c>
      <c r="AM17" s="64">
        <v>181917</v>
      </c>
      <c r="AN17" s="28">
        <v>159320</v>
      </c>
      <c r="AO17" s="29">
        <f t="shared" si="15"/>
        <v>22597</v>
      </c>
      <c r="AP17" s="28">
        <v>150566</v>
      </c>
      <c r="AQ17" s="29">
        <f t="shared" si="16"/>
        <v>31351</v>
      </c>
      <c r="AR17" s="65">
        <v>12400</v>
      </c>
      <c r="AS17" s="31">
        <f t="shared" si="17"/>
        <v>169517</v>
      </c>
      <c r="AT17" s="23">
        <v>162484</v>
      </c>
      <c r="AU17" s="19">
        <v>137066</v>
      </c>
      <c r="AV17" s="20">
        <f t="shared" si="18"/>
        <v>25418</v>
      </c>
      <c r="AW17" s="19">
        <v>114014</v>
      </c>
      <c r="AX17" s="20">
        <f t="shared" si="19"/>
        <v>48470</v>
      </c>
      <c r="AY17" s="21">
        <v>26548</v>
      </c>
      <c r="AZ17" s="22">
        <f t="shared" si="20"/>
        <v>135936</v>
      </c>
      <c r="BA17" s="23">
        <v>130302</v>
      </c>
      <c r="BB17" s="19">
        <v>110947</v>
      </c>
      <c r="BC17" s="20">
        <f t="shared" si="21"/>
        <v>19355</v>
      </c>
      <c r="BD17" s="19">
        <v>95331</v>
      </c>
      <c r="BE17" s="20">
        <f t="shared" si="22"/>
        <v>34971</v>
      </c>
      <c r="BF17" s="21">
        <v>12180</v>
      </c>
      <c r="BG17" s="22">
        <f t="shared" si="23"/>
        <v>118122</v>
      </c>
      <c r="BH17" s="23">
        <v>128576</v>
      </c>
      <c r="BI17" s="19">
        <v>109700</v>
      </c>
      <c r="BJ17" s="20">
        <f t="shared" si="24"/>
        <v>18876</v>
      </c>
      <c r="BK17" s="19">
        <v>99960</v>
      </c>
      <c r="BL17" s="20">
        <f t="shared" si="25"/>
        <v>28616</v>
      </c>
      <c r="BM17" s="21">
        <v>6760</v>
      </c>
      <c r="BN17" s="22">
        <f t="shared" si="26"/>
        <v>121816</v>
      </c>
      <c r="BO17" s="23">
        <v>147839</v>
      </c>
      <c r="BP17" s="24">
        <v>128240</v>
      </c>
      <c r="BQ17" s="20">
        <f t="shared" si="27"/>
        <v>19599</v>
      </c>
      <c r="BR17" s="24">
        <v>118300</v>
      </c>
      <c r="BS17" s="20">
        <f t="shared" si="28"/>
        <v>29539</v>
      </c>
      <c r="BT17" s="21">
        <v>11920</v>
      </c>
      <c r="BU17" s="34">
        <f t="shared" si="29"/>
        <v>135919</v>
      </c>
      <c r="BV17" s="35">
        <v>103558</v>
      </c>
      <c r="BW17" s="36">
        <v>91140</v>
      </c>
      <c r="BX17" s="37">
        <f t="shared" si="30"/>
        <v>12418</v>
      </c>
      <c r="BY17" s="36">
        <v>76800</v>
      </c>
      <c r="BZ17" s="37">
        <f t="shared" si="31"/>
        <v>26758</v>
      </c>
      <c r="CA17" s="38">
        <v>22600</v>
      </c>
      <c r="CB17" s="39">
        <f t="shared" si="32"/>
        <v>80958</v>
      </c>
      <c r="CC17" s="37">
        <v>137248</v>
      </c>
      <c r="CD17" s="37">
        <v>116179</v>
      </c>
      <c r="CE17" s="37">
        <f t="shared" si="33"/>
        <v>21069</v>
      </c>
      <c r="CF17" s="37">
        <v>101169</v>
      </c>
      <c r="CG17" s="37">
        <f t="shared" si="34"/>
        <v>36079</v>
      </c>
      <c r="CH17" s="40">
        <v>17639</v>
      </c>
      <c r="CI17" s="39">
        <f t="shared" si="35"/>
        <v>119609</v>
      </c>
      <c r="CJ17" s="37">
        <v>150771</v>
      </c>
      <c r="CK17" s="37">
        <v>121920</v>
      </c>
      <c r="CL17" s="37">
        <f t="shared" si="36"/>
        <v>28851</v>
      </c>
      <c r="CM17" s="37">
        <v>110904</v>
      </c>
      <c r="CN17" s="37">
        <f t="shared" si="37"/>
        <v>39867</v>
      </c>
      <c r="CO17" s="40">
        <v>7780</v>
      </c>
      <c r="CP17" s="41">
        <f t="shared" si="38"/>
        <v>142991</v>
      </c>
      <c r="CQ17" s="37">
        <v>90721</v>
      </c>
      <c r="CR17" s="40">
        <v>10667</v>
      </c>
      <c r="CS17" s="41">
        <f t="shared" si="54"/>
        <v>80054</v>
      </c>
      <c r="CT17" s="37">
        <v>110571</v>
      </c>
      <c r="CU17" s="40">
        <v>18640</v>
      </c>
      <c r="CV17" s="41">
        <f t="shared" si="55"/>
        <v>91931</v>
      </c>
      <c r="CW17" s="37">
        <v>167136</v>
      </c>
      <c r="CX17" s="40">
        <v>11000</v>
      </c>
      <c r="CY17" s="41">
        <f>CW17-CX17</f>
        <v>156136</v>
      </c>
      <c r="CZ17" s="37">
        <v>93331</v>
      </c>
      <c r="DA17" s="40">
        <v>10321</v>
      </c>
      <c r="DB17" s="41">
        <f>CZ17-DA17</f>
        <v>83010</v>
      </c>
      <c r="DC17" s="37">
        <v>98271</v>
      </c>
      <c r="DD17" s="40">
        <v>5600</v>
      </c>
      <c r="DE17" s="42">
        <f>DC17-DD17</f>
        <v>92671</v>
      </c>
    </row>
    <row r="18" spans="1:109" s="1" customFormat="1" ht="12.5" x14ac:dyDescent="0.25">
      <c r="A18" s="112" t="s">
        <v>40</v>
      </c>
      <c r="B18" s="122">
        <f>146879+50818</f>
        <v>197697</v>
      </c>
      <c r="C18" s="84">
        <f>131300+49460</f>
        <v>180760</v>
      </c>
      <c r="D18" s="29">
        <f t="shared" ref="D18" si="254">B18-C18</f>
        <v>16937</v>
      </c>
      <c r="E18" s="84">
        <f>114480+8760+43840+820</f>
        <v>167900</v>
      </c>
      <c r="F18" s="29">
        <f t="shared" ref="F18" si="255">B18-E18</f>
        <v>29797</v>
      </c>
      <c r="G18" s="65">
        <v>50818</v>
      </c>
      <c r="H18" s="116">
        <f t="shared" ref="H18" si="256">B18-G18</f>
        <v>146879</v>
      </c>
      <c r="I18" s="121"/>
      <c r="J18" s="80">
        <f>172160+81120</f>
        <v>253280</v>
      </c>
      <c r="K18" s="89">
        <f>151920+76760</f>
        <v>228680</v>
      </c>
      <c r="L18" s="90">
        <f t="shared" ref="L18" si="257">J18-K18</f>
        <v>24600</v>
      </c>
      <c r="M18" s="89">
        <f>128720+11400+69680+2840</f>
        <v>212640</v>
      </c>
      <c r="N18" s="90">
        <f t="shared" ref="N18" si="258">J18-M18</f>
        <v>40640</v>
      </c>
      <c r="O18" s="105">
        <v>81120</v>
      </c>
      <c r="P18" s="96">
        <f t="shared" ref="P18" si="259">J18-O18</f>
        <v>172160</v>
      </c>
      <c r="Q18" s="108"/>
      <c r="R18" s="80">
        <v>191009</v>
      </c>
      <c r="S18" s="84">
        <v>167160</v>
      </c>
      <c r="T18" s="29">
        <v>23849</v>
      </c>
      <c r="U18" s="84">
        <v>148809</v>
      </c>
      <c r="V18" s="29">
        <v>42200</v>
      </c>
      <c r="W18" s="65">
        <v>50019</v>
      </c>
      <c r="X18" s="31">
        <v>140990</v>
      </c>
      <c r="Y18" s="83">
        <v>190500</v>
      </c>
      <c r="Z18" s="28">
        <v>161060</v>
      </c>
      <c r="AA18" s="29">
        <f t="shared" ref="AA18" si="260">Y18-Z18</f>
        <v>29440</v>
      </c>
      <c r="AB18" s="28">
        <f>123640+11280+13020+6420</f>
        <v>154360</v>
      </c>
      <c r="AC18" s="29">
        <f t="shared" ref="AC18" si="261">Y18-AB18</f>
        <v>36140</v>
      </c>
      <c r="AD18" s="30">
        <v>21340</v>
      </c>
      <c r="AE18" s="31">
        <f t="shared" ref="AE18" si="262">Y18-AD18</f>
        <v>169160</v>
      </c>
      <c r="AF18" s="80">
        <v>182260</v>
      </c>
      <c r="AG18" s="71">
        <v>154840</v>
      </c>
      <c r="AH18" s="29">
        <f t="shared" ref="AH18" si="263">AF18-AG18</f>
        <v>27420</v>
      </c>
      <c r="AI18" s="28">
        <v>145740</v>
      </c>
      <c r="AJ18" s="29">
        <f t="shared" ref="AJ18" si="264">AF18-AI18</f>
        <v>36520</v>
      </c>
      <c r="AK18" s="30">
        <v>18200</v>
      </c>
      <c r="AL18" s="31">
        <f t="shared" ref="AL18" si="265">AF18-AK18</f>
        <v>164060</v>
      </c>
      <c r="AM18" s="64">
        <v>184369</v>
      </c>
      <c r="AN18" s="28">
        <v>161520</v>
      </c>
      <c r="AO18" s="29">
        <f t="shared" si="15"/>
        <v>22849</v>
      </c>
      <c r="AP18" s="28">
        <v>150749</v>
      </c>
      <c r="AQ18" s="29">
        <f t="shared" si="16"/>
        <v>33620</v>
      </c>
      <c r="AR18" s="65">
        <v>16220</v>
      </c>
      <c r="AS18" s="31">
        <f t="shared" si="17"/>
        <v>168149</v>
      </c>
      <c r="AT18" s="23">
        <v>155300</v>
      </c>
      <c r="AU18" s="19">
        <v>132381</v>
      </c>
      <c r="AV18" s="20">
        <f t="shared" si="18"/>
        <v>22919</v>
      </c>
      <c r="AW18" s="19">
        <v>110880</v>
      </c>
      <c r="AX18" s="20">
        <f t="shared" si="19"/>
        <v>44420</v>
      </c>
      <c r="AY18" s="21">
        <v>20939</v>
      </c>
      <c r="AZ18" s="22">
        <f t="shared" si="20"/>
        <v>134361</v>
      </c>
      <c r="BA18" s="23">
        <v>144877</v>
      </c>
      <c r="BB18" s="19">
        <v>125820</v>
      </c>
      <c r="BC18" s="20">
        <f t="shared" si="21"/>
        <v>19057</v>
      </c>
      <c r="BD18" s="19">
        <v>110817</v>
      </c>
      <c r="BE18" s="20">
        <f t="shared" si="22"/>
        <v>34060</v>
      </c>
      <c r="BF18" s="21">
        <v>9460</v>
      </c>
      <c r="BG18" s="22">
        <f t="shared" si="23"/>
        <v>135417</v>
      </c>
      <c r="BH18" s="23">
        <v>133590</v>
      </c>
      <c r="BI18" s="19">
        <v>115061</v>
      </c>
      <c r="BJ18" s="20">
        <f t="shared" si="24"/>
        <v>18529</v>
      </c>
      <c r="BK18" s="19">
        <v>104680</v>
      </c>
      <c r="BL18" s="20">
        <f t="shared" si="25"/>
        <v>28910</v>
      </c>
      <c r="BM18" s="21">
        <v>8840</v>
      </c>
      <c r="BN18" s="22">
        <f t="shared" si="26"/>
        <v>124750</v>
      </c>
      <c r="BO18" s="23">
        <v>153940</v>
      </c>
      <c r="BP18" s="24">
        <v>134280</v>
      </c>
      <c r="BQ18" s="20">
        <f t="shared" si="27"/>
        <v>19660</v>
      </c>
      <c r="BR18" s="24">
        <v>124020</v>
      </c>
      <c r="BS18" s="20">
        <f t="shared" si="28"/>
        <v>29920</v>
      </c>
      <c r="BT18" s="21">
        <v>20800</v>
      </c>
      <c r="BU18" s="34">
        <f t="shared" si="29"/>
        <v>133140</v>
      </c>
      <c r="BV18" s="35">
        <v>91359</v>
      </c>
      <c r="BW18" s="36">
        <v>76900</v>
      </c>
      <c r="BX18" s="37">
        <f t="shared" si="30"/>
        <v>14459</v>
      </c>
      <c r="BY18" s="36">
        <v>61920</v>
      </c>
      <c r="BZ18" s="37">
        <f t="shared" si="31"/>
        <v>29439</v>
      </c>
      <c r="CA18" s="38">
        <v>10920</v>
      </c>
      <c r="CB18" s="39">
        <f t="shared" si="32"/>
        <v>80439</v>
      </c>
      <c r="CC18" s="37">
        <v>138901</v>
      </c>
      <c r="CD18" s="37">
        <v>118280</v>
      </c>
      <c r="CE18" s="37">
        <f t="shared" si="33"/>
        <v>20621</v>
      </c>
      <c r="CF18" s="37">
        <v>104980</v>
      </c>
      <c r="CG18" s="37">
        <f t="shared" si="34"/>
        <v>33921</v>
      </c>
      <c r="CH18" s="40">
        <v>7040</v>
      </c>
      <c r="CI18" s="39">
        <f t="shared" si="35"/>
        <v>131861</v>
      </c>
      <c r="CJ18" s="37">
        <v>156760</v>
      </c>
      <c r="CK18" s="37">
        <v>133900</v>
      </c>
      <c r="CL18" s="37">
        <f t="shared" si="36"/>
        <v>22860</v>
      </c>
      <c r="CM18" s="37">
        <v>113399</v>
      </c>
      <c r="CN18" s="37">
        <f t="shared" si="37"/>
        <v>43361</v>
      </c>
      <c r="CO18" s="40">
        <v>22039</v>
      </c>
      <c r="CP18" s="41">
        <f t="shared" si="38"/>
        <v>134721</v>
      </c>
      <c r="CQ18" s="37">
        <v>89810</v>
      </c>
      <c r="CR18" s="40">
        <v>9278</v>
      </c>
      <c r="CS18" s="41">
        <f t="shared" si="54"/>
        <v>80532</v>
      </c>
      <c r="CT18" s="37">
        <v>106541</v>
      </c>
      <c r="CU18" s="40">
        <v>13340</v>
      </c>
      <c r="CV18" s="41">
        <f t="shared" si="55"/>
        <v>93201</v>
      </c>
      <c r="CW18" s="37">
        <v>162619</v>
      </c>
      <c r="CX18" s="40">
        <v>10800</v>
      </c>
      <c r="CY18" s="41">
        <f t="shared" ref="CY18:CY51" si="266">CW18-CX18</f>
        <v>151819</v>
      </c>
      <c r="CZ18" s="37">
        <v>96579</v>
      </c>
      <c r="DA18" s="40">
        <v>6250</v>
      </c>
      <c r="DB18" s="41">
        <f t="shared" ref="DB18:DB51" si="267">CZ18-DA18</f>
        <v>90329</v>
      </c>
      <c r="DC18" s="37">
        <v>84260</v>
      </c>
      <c r="DD18" s="40">
        <v>3020</v>
      </c>
      <c r="DE18" s="42">
        <f t="shared" ref="DE18:DE51" si="268">DC18-DD18</f>
        <v>81240</v>
      </c>
    </row>
    <row r="19" spans="1:109" s="1" customFormat="1" ht="12.5" x14ac:dyDescent="0.25">
      <c r="A19" s="112" t="s">
        <v>42</v>
      </c>
      <c r="B19" s="122">
        <f>143159+47460</f>
        <v>190619</v>
      </c>
      <c r="C19" s="84">
        <f>128760+45960</f>
        <v>174720</v>
      </c>
      <c r="D19" s="29">
        <f t="shared" ref="D19" si="269">B19-C19</f>
        <v>15899</v>
      </c>
      <c r="E19" s="84">
        <f>112840+7440+41080+1260</f>
        <v>162620</v>
      </c>
      <c r="F19" s="29">
        <f t="shared" ref="F19" si="270">B19-E19</f>
        <v>27999</v>
      </c>
      <c r="G19" s="65">
        <v>47460</v>
      </c>
      <c r="H19" s="116">
        <f t="shared" ref="H19" si="271">B19-G19</f>
        <v>143159</v>
      </c>
      <c r="I19" s="121"/>
      <c r="J19" s="80">
        <f>168259+142459</f>
        <v>310718</v>
      </c>
      <c r="K19" s="89">
        <f>148160+138600</f>
        <v>286760</v>
      </c>
      <c r="L19" s="90">
        <f t="shared" ref="L19" si="272">J19-K19</f>
        <v>23958</v>
      </c>
      <c r="M19" s="89">
        <f>126700+12100+131400+2879</f>
        <v>273079</v>
      </c>
      <c r="N19" s="90">
        <f t="shared" ref="N19" si="273">J19-M19</f>
        <v>37639</v>
      </c>
      <c r="O19" s="105">
        <v>142459</v>
      </c>
      <c r="P19" s="96">
        <f t="shared" ref="P19" si="274">J19-O19</f>
        <v>168259</v>
      </c>
      <c r="Q19" s="108"/>
      <c r="R19" s="80">
        <f>140120+54820</f>
        <v>194940</v>
      </c>
      <c r="S19" s="84">
        <f>118480+51440</f>
        <v>169920</v>
      </c>
      <c r="T19" s="29">
        <f t="shared" ref="T19" si="275">R19-S19</f>
        <v>25020</v>
      </c>
      <c r="U19" s="84">
        <f>92320+8840+46960+1360</f>
        <v>149480</v>
      </c>
      <c r="V19" s="29">
        <f t="shared" ref="V19" si="276">R19-U19</f>
        <v>45460</v>
      </c>
      <c r="W19" s="65">
        <v>54820</v>
      </c>
      <c r="X19" s="31">
        <f t="shared" ref="X19" si="277">R19-W19</f>
        <v>140120</v>
      </c>
      <c r="Y19" s="83">
        <f>169818+22879</f>
        <v>192697</v>
      </c>
      <c r="Z19" s="28">
        <f>148930+18596</f>
        <v>167526</v>
      </c>
      <c r="AA19" s="29">
        <f t="shared" ref="AA19" si="278">Y19-Z19</f>
        <v>25171</v>
      </c>
      <c r="AB19" s="28">
        <f>124540+9080+16276+4103</f>
        <v>153999</v>
      </c>
      <c r="AC19" s="29">
        <f t="shared" ref="AC19" si="279">Y19-AB19</f>
        <v>38698</v>
      </c>
      <c r="AD19" s="30">
        <v>22879</v>
      </c>
      <c r="AE19" s="31">
        <f t="shared" ref="AE19" si="280">Y19-AD19</f>
        <v>169818</v>
      </c>
      <c r="AF19" s="80">
        <v>187943</v>
      </c>
      <c r="AG19" s="71">
        <v>159383</v>
      </c>
      <c r="AH19" s="29">
        <f t="shared" ref="AH19" si="281">AF19-AG19</f>
        <v>28560</v>
      </c>
      <c r="AI19" s="28">
        <v>153163</v>
      </c>
      <c r="AJ19" s="29">
        <f t="shared" ref="AJ19" si="282">AF19-AI19</f>
        <v>34780</v>
      </c>
      <c r="AK19" s="30">
        <v>19063</v>
      </c>
      <c r="AL19" s="31">
        <f t="shared" ref="AL19" si="283">AF19-AK19</f>
        <v>168880</v>
      </c>
      <c r="AM19" s="64">
        <v>184700</v>
      </c>
      <c r="AN19" s="28">
        <v>158560</v>
      </c>
      <c r="AO19" s="29">
        <f t="shared" si="15"/>
        <v>26140</v>
      </c>
      <c r="AP19" s="28">
        <v>146340</v>
      </c>
      <c r="AQ19" s="29">
        <f t="shared" si="16"/>
        <v>38360</v>
      </c>
      <c r="AR19" s="65">
        <v>13520</v>
      </c>
      <c r="AS19" s="31">
        <f t="shared" si="17"/>
        <v>171180</v>
      </c>
      <c r="AT19" s="23">
        <v>163475</v>
      </c>
      <c r="AU19" s="19">
        <v>132316</v>
      </c>
      <c r="AV19" s="20">
        <f t="shared" si="18"/>
        <v>31159</v>
      </c>
      <c r="AW19" s="19">
        <v>109995</v>
      </c>
      <c r="AX19" s="20">
        <f t="shared" si="19"/>
        <v>53480</v>
      </c>
      <c r="AY19" s="21">
        <v>15956</v>
      </c>
      <c r="AZ19" s="22">
        <f t="shared" si="20"/>
        <v>147519</v>
      </c>
      <c r="BA19" s="23">
        <v>161933</v>
      </c>
      <c r="BB19" s="19">
        <v>140211</v>
      </c>
      <c r="BC19" s="20">
        <f t="shared" si="21"/>
        <v>21722</v>
      </c>
      <c r="BD19" s="19">
        <v>120870</v>
      </c>
      <c r="BE19" s="20">
        <f t="shared" si="22"/>
        <v>41063</v>
      </c>
      <c r="BF19" s="21">
        <v>15340</v>
      </c>
      <c r="BG19" s="22">
        <f t="shared" si="23"/>
        <v>146593</v>
      </c>
      <c r="BH19" s="23">
        <v>132188</v>
      </c>
      <c r="BI19" s="19">
        <v>112659</v>
      </c>
      <c r="BJ19" s="20">
        <f t="shared" si="24"/>
        <v>19529</v>
      </c>
      <c r="BK19" s="19">
        <v>103019</v>
      </c>
      <c r="BL19" s="20">
        <f t="shared" si="25"/>
        <v>29169</v>
      </c>
      <c r="BM19" s="21">
        <v>11600</v>
      </c>
      <c r="BN19" s="22">
        <f t="shared" si="26"/>
        <v>120588</v>
      </c>
      <c r="BO19" s="23">
        <v>151268</v>
      </c>
      <c r="BP19" s="24">
        <v>130118</v>
      </c>
      <c r="BQ19" s="20">
        <f t="shared" si="27"/>
        <v>21150</v>
      </c>
      <c r="BR19" s="24">
        <v>121300</v>
      </c>
      <c r="BS19" s="20">
        <f t="shared" si="28"/>
        <v>29968</v>
      </c>
      <c r="BT19" s="21">
        <v>13232</v>
      </c>
      <c r="BU19" s="34">
        <f t="shared" si="29"/>
        <v>138036</v>
      </c>
      <c r="BV19" s="35">
        <v>88870</v>
      </c>
      <c r="BW19" s="36">
        <v>76580</v>
      </c>
      <c r="BX19" s="37">
        <f t="shared" si="30"/>
        <v>12290</v>
      </c>
      <c r="BY19" s="36">
        <v>62910</v>
      </c>
      <c r="BZ19" s="37">
        <f t="shared" si="31"/>
        <v>25960</v>
      </c>
      <c r="CA19" s="38">
        <v>8280</v>
      </c>
      <c r="CB19" s="39">
        <f t="shared" si="32"/>
        <v>80590</v>
      </c>
      <c r="CC19" s="37">
        <v>164212</v>
      </c>
      <c r="CD19" s="37">
        <v>138080</v>
      </c>
      <c r="CE19" s="37">
        <f t="shared" si="33"/>
        <v>26132</v>
      </c>
      <c r="CF19" s="37">
        <v>119008</v>
      </c>
      <c r="CG19" s="37">
        <f t="shared" si="34"/>
        <v>45204</v>
      </c>
      <c r="CH19" s="40">
        <v>13400</v>
      </c>
      <c r="CI19" s="39">
        <f t="shared" si="35"/>
        <v>150812</v>
      </c>
      <c r="CJ19" s="37">
        <v>151736</v>
      </c>
      <c r="CK19" s="37">
        <v>131020</v>
      </c>
      <c r="CL19" s="37">
        <v>20716</v>
      </c>
      <c r="CM19" s="37">
        <v>111080</v>
      </c>
      <c r="CN19" s="37">
        <v>40656</v>
      </c>
      <c r="CO19" s="40">
        <v>17560</v>
      </c>
      <c r="CP19" s="41">
        <f t="shared" si="38"/>
        <v>134176</v>
      </c>
      <c r="CQ19" s="37">
        <v>79293</v>
      </c>
      <c r="CR19" s="40">
        <v>19715</v>
      </c>
      <c r="CS19" s="41">
        <f t="shared" si="54"/>
        <v>59578</v>
      </c>
      <c r="CT19" s="37">
        <v>106871</v>
      </c>
      <c r="CU19" s="40">
        <v>10580</v>
      </c>
      <c r="CV19" s="41">
        <f t="shared" si="55"/>
        <v>96291</v>
      </c>
      <c r="CW19" s="37">
        <v>156239</v>
      </c>
      <c r="CX19" s="40">
        <v>11640</v>
      </c>
      <c r="CY19" s="41">
        <f t="shared" si="266"/>
        <v>144599</v>
      </c>
      <c r="CZ19" s="37">
        <v>103686</v>
      </c>
      <c r="DA19" s="40">
        <v>11205</v>
      </c>
      <c r="DB19" s="41">
        <f t="shared" si="267"/>
        <v>92481</v>
      </c>
      <c r="DC19" s="37">
        <v>93826</v>
      </c>
      <c r="DD19" s="40">
        <v>15579</v>
      </c>
      <c r="DE19" s="42">
        <f t="shared" si="268"/>
        <v>78247</v>
      </c>
    </row>
    <row r="20" spans="1:109" s="1" customFormat="1" ht="12.5" x14ac:dyDescent="0.25">
      <c r="A20" s="112" t="s">
        <v>41</v>
      </c>
      <c r="B20" s="122">
        <f>143920+44959</f>
        <v>188879</v>
      </c>
      <c r="C20" s="84">
        <f>130280+42700</f>
        <v>172980</v>
      </c>
      <c r="D20" s="29">
        <f t="shared" ref="D20" si="284">B20-C20</f>
        <v>15899</v>
      </c>
      <c r="E20" s="84">
        <f>113160+8780+38320+1500</f>
        <v>161760</v>
      </c>
      <c r="F20" s="29">
        <f t="shared" ref="F20" si="285">B20-E20</f>
        <v>27119</v>
      </c>
      <c r="G20" s="65">
        <v>44959</v>
      </c>
      <c r="H20" s="116">
        <f t="shared" ref="H20" si="286">B20-G20</f>
        <v>143920</v>
      </c>
      <c r="I20" s="121"/>
      <c r="J20" s="80">
        <f>173884+101659</f>
        <v>275543</v>
      </c>
      <c r="K20" s="89">
        <f>150724+96441</f>
        <v>247165</v>
      </c>
      <c r="L20" s="90">
        <f t="shared" ref="L20" si="287">J20-K20</f>
        <v>28378</v>
      </c>
      <c r="M20" s="89">
        <f>128484+12560+89880+3700</f>
        <v>234624</v>
      </c>
      <c r="N20" s="90">
        <f t="shared" ref="N20" si="288">J20-M20</f>
        <v>40919</v>
      </c>
      <c r="O20" s="105">
        <v>101659</v>
      </c>
      <c r="P20" s="96">
        <f t="shared" ref="P20" si="289">J20-O20</f>
        <v>173884</v>
      </c>
      <c r="Q20" s="108"/>
      <c r="R20" s="80">
        <f>149939+51260</f>
        <v>201199</v>
      </c>
      <c r="S20" s="84">
        <f>126200+49680</f>
        <v>175880</v>
      </c>
      <c r="T20" s="29">
        <f t="shared" ref="T20" si="290">R20-S20</f>
        <v>25319</v>
      </c>
      <c r="U20" s="84">
        <f>99840+10280+45760+980</f>
        <v>156860</v>
      </c>
      <c r="V20" s="29">
        <f t="shared" ref="V20" si="291">R20-U20</f>
        <v>44339</v>
      </c>
      <c r="W20" s="65">
        <v>51260</v>
      </c>
      <c r="X20" s="31">
        <f t="shared" ref="X20" si="292">R20-W20</f>
        <v>149939</v>
      </c>
      <c r="Y20" s="83">
        <f>171434+27643</f>
        <v>199077</v>
      </c>
      <c r="Z20" s="28">
        <f>148440+22040</f>
        <v>170480</v>
      </c>
      <c r="AA20" s="29">
        <f t="shared" ref="AA20" si="293">Y20-Z20</f>
        <v>28597</v>
      </c>
      <c r="AB20" s="28">
        <f>122720+10954+20680+5119</f>
        <v>159473</v>
      </c>
      <c r="AC20" s="29">
        <f t="shared" ref="AC20" si="294">Y20-AB20</f>
        <v>39604</v>
      </c>
      <c r="AD20" s="30">
        <v>27643</v>
      </c>
      <c r="AE20" s="31">
        <f t="shared" ref="AE20" si="295">Y20-AD20</f>
        <v>171434</v>
      </c>
      <c r="AF20" s="80">
        <v>187638</v>
      </c>
      <c r="AG20" s="71">
        <v>161679</v>
      </c>
      <c r="AH20" s="29">
        <f t="shared" ref="AH20" si="296">AF20-AG20</f>
        <v>25959</v>
      </c>
      <c r="AI20" s="28">
        <v>145000</v>
      </c>
      <c r="AJ20" s="29">
        <f t="shared" ref="AJ20" si="297">AF20-AI20</f>
        <v>42638</v>
      </c>
      <c r="AK20" s="30">
        <v>19160</v>
      </c>
      <c r="AL20" s="31">
        <f t="shared" ref="AL20" si="298">AF20-AK20</f>
        <v>168478</v>
      </c>
      <c r="AM20" s="64">
        <v>176925</v>
      </c>
      <c r="AN20" s="28">
        <v>152820</v>
      </c>
      <c r="AO20" s="29">
        <f t="shared" si="15"/>
        <v>24105</v>
      </c>
      <c r="AP20" s="28">
        <v>141138</v>
      </c>
      <c r="AQ20" s="29">
        <f t="shared" si="16"/>
        <v>35787</v>
      </c>
      <c r="AR20" s="65">
        <v>8980</v>
      </c>
      <c r="AS20" s="31">
        <f t="shared" si="17"/>
        <v>167945</v>
      </c>
      <c r="AT20" s="23">
        <v>125111</v>
      </c>
      <c r="AU20" s="19">
        <v>105500</v>
      </c>
      <c r="AV20" s="20">
        <f t="shared" si="18"/>
        <v>19611</v>
      </c>
      <c r="AW20" s="19">
        <v>85960</v>
      </c>
      <c r="AX20" s="20">
        <f t="shared" si="19"/>
        <v>39151</v>
      </c>
      <c r="AY20" s="21">
        <v>10391</v>
      </c>
      <c r="AZ20" s="22">
        <f t="shared" si="20"/>
        <v>114720</v>
      </c>
      <c r="BA20" s="23">
        <v>163252</v>
      </c>
      <c r="BB20" s="19">
        <v>141678</v>
      </c>
      <c r="BC20" s="20">
        <f t="shared" si="21"/>
        <v>21574</v>
      </c>
      <c r="BD20" s="19">
        <v>123280</v>
      </c>
      <c r="BE20" s="20">
        <f t="shared" si="22"/>
        <v>39972</v>
      </c>
      <c r="BF20" s="21">
        <v>14134</v>
      </c>
      <c r="BG20" s="22">
        <f t="shared" si="23"/>
        <v>149118</v>
      </c>
      <c r="BH20" s="23">
        <v>131831</v>
      </c>
      <c r="BI20" s="19">
        <v>111361</v>
      </c>
      <c r="BJ20" s="20">
        <f t="shared" si="24"/>
        <v>20470</v>
      </c>
      <c r="BK20" s="19">
        <v>96760</v>
      </c>
      <c r="BL20" s="20">
        <f t="shared" si="25"/>
        <v>35071</v>
      </c>
      <c r="BM20" s="21">
        <v>10761</v>
      </c>
      <c r="BN20" s="22">
        <f t="shared" si="26"/>
        <v>121070</v>
      </c>
      <c r="BO20" s="23">
        <v>152683</v>
      </c>
      <c r="BP20" s="24">
        <v>129040</v>
      </c>
      <c r="BQ20" s="20">
        <f t="shared" si="27"/>
        <v>23643</v>
      </c>
      <c r="BR20" s="24">
        <v>120400</v>
      </c>
      <c r="BS20" s="20">
        <f t="shared" si="28"/>
        <v>32283</v>
      </c>
      <c r="BT20" s="21">
        <v>10983</v>
      </c>
      <c r="BU20" s="34">
        <f t="shared" si="29"/>
        <v>141700</v>
      </c>
      <c r="BV20" s="35">
        <v>97877</v>
      </c>
      <c r="BW20" s="36">
        <v>83840</v>
      </c>
      <c r="BX20" s="37">
        <f t="shared" si="30"/>
        <v>14037</v>
      </c>
      <c r="BY20" s="36">
        <v>66097</v>
      </c>
      <c r="BZ20" s="37">
        <f t="shared" si="31"/>
        <v>31780</v>
      </c>
      <c r="CA20" s="38">
        <v>11780</v>
      </c>
      <c r="CB20" s="39">
        <f t="shared" si="32"/>
        <v>86097</v>
      </c>
      <c r="CC20" s="37">
        <v>168780</v>
      </c>
      <c r="CD20" s="37">
        <v>145180</v>
      </c>
      <c r="CE20" s="37">
        <f t="shared" si="33"/>
        <v>23600</v>
      </c>
      <c r="CF20" s="37">
        <v>125220</v>
      </c>
      <c r="CG20" s="37">
        <f t="shared" si="34"/>
        <v>43560</v>
      </c>
      <c r="CH20" s="40">
        <v>23880</v>
      </c>
      <c r="CI20" s="39">
        <f t="shared" si="35"/>
        <v>144900</v>
      </c>
      <c r="CJ20" s="37">
        <v>149712</v>
      </c>
      <c r="CK20" s="37">
        <v>129020</v>
      </c>
      <c r="CL20" s="37">
        <f>CJ20-CK20</f>
        <v>20692</v>
      </c>
      <c r="CM20" s="37">
        <v>111346</v>
      </c>
      <c r="CN20" s="37">
        <f>CJ20-CM20</f>
        <v>38366</v>
      </c>
      <c r="CO20" s="40">
        <v>13660</v>
      </c>
      <c r="CP20" s="41">
        <f>CJ20-CO20</f>
        <v>136052</v>
      </c>
      <c r="CQ20" s="37">
        <v>75238</v>
      </c>
      <c r="CR20" s="40">
        <v>8969</v>
      </c>
      <c r="CS20" s="41">
        <f t="shared" si="54"/>
        <v>66269</v>
      </c>
      <c r="CT20" s="37">
        <v>139768</v>
      </c>
      <c r="CU20" s="40">
        <v>10600</v>
      </c>
      <c r="CV20" s="41">
        <f t="shared" si="55"/>
        <v>129168</v>
      </c>
      <c r="CW20" s="37">
        <v>157479</v>
      </c>
      <c r="CX20" s="40">
        <v>7839</v>
      </c>
      <c r="CY20" s="41">
        <f t="shared" si="266"/>
        <v>149640</v>
      </c>
      <c r="CZ20" s="37">
        <v>110374</v>
      </c>
      <c r="DA20" s="40">
        <v>18874</v>
      </c>
      <c r="DB20" s="41">
        <f t="shared" si="267"/>
        <v>91500</v>
      </c>
      <c r="DC20" s="37">
        <v>102738</v>
      </c>
      <c r="DD20" s="40">
        <v>12920</v>
      </c>
      <c r="DE20" s="42">
        <f t="shared" si="268"/>
        <v>89818</v>
      </c>
    </row>
    <row r="21" spans="1:109" s="1" customFormat="1" ht="12.5" x14ac:dyDescent="0.25">
      <c r="A21" s="112" t="s">
        <v>43</v>
      </c>
      <c r="B21" s="122">
        <f>146040+60418</f>
        <v>206458</v>
      </c>
      <c r="C21" s="84">
        <f>130240+58260</f>
        <v>188500</v>
      </c>
      <c r="D21" s="29">
        <f t="shared" ref="D21" si="299">B21-C21</f>
        <v>17958</v>
      </c>
      <c r="E21" s="84">
        <f>109640+9460+52680+1460</f>
        <v>173240</v>
      </c>
      <c r="F21" s="29">
        <f t="shared" ref="F21" si="300">B21-E21</f>
        <v>33218</v>
      </c>
      <c r="G21" s="65">
        <v>60418</v>
      </c>
      <c r="H21" s="116">
        <f t="shared" ref="H21" si="301">B21-G21</f>
        <v>146040</v>
      </c>
      <c r="I21" s="121"/>
      <c r="J21" s="80">
        <f>177600+97657</f>
        <v>275257</v>
      </c>
      <c r="K21" s="89">
        <f>153380+92980</f>
        <v>246360</v>
      </c>
      <c r="L21" s="90">
        <f t="shared" ref="L21" si="302">J21-K21</f>
        <v>28897</v>
      </c>
      <c r="M21" s="89">
        <f>132440+12780+87000+3439</f>
        <v>235659</v>
      </c>
      <c r="N21" s="90">
        <f t="shared" ref="N21" si="303">J21-M21</f>
        <v>39598</v>
      </c>
      <c r="O21" s="105">
        <v>97657</v>
      </c>
      <c r="P21" s="96">
        <f t="shared" ref="P21" si="304">J21-O21</f>
        <v>177600</v>
      </c>
      <c r="Q21" s="108"/>
      <c r="R21" s="80">
        <f>153480+74929</f>
        <v>228409</v>
      </c>
      <c r="S21" s="84">
        <f>129500+71480</f>
        <v>200980</v>
      </c>
      <c r="T21" s="29">
        <f t="shared" ref="T21" si="305">R21-S21</f>
        <v>27429</v>
      </c>
      <c r="U21" s="84">
        <f>102960+12640+64160+1649</f>
        <v>181409</v>
      </c>
      <c r="V21" s="29">
        <f t="shared" ref="V21" si="306">R21-U21</f>
        <v>47000</v>
      </c>
      <c r="W21" s="65">
        <v>74929</v>
      </c>
      <c r="X21" s="31">
        <f t="shared" ref="X21" si="307">R21-W21</f>
        <v>153480</v>
      </c>
      <c r="Y21" s="83">
        <f>164940+24670</f>
        <v>189610</v>
      </c>
      <c r="Z21" s="28">
        <f>145620+17480</f>
        <v>163100</v>
      </c>
      <c r="AA21" s="29">
        <f t="shared" ref="AA21" si="308">Y21-Z21</f>
        <v>26510</v>
      </c>
      <c r="AB21" s="28">
        <f>124560+10520+15640+6580</f>
        <v>157300</v>
      </c>
      <c r="AC21" s="29">
        <f t="shared" ref="AC21" si="309">Y21-AB21</f>
        <v>32310</v>
      </c>
      <c r="AD21" s="30">
        <v>24670</v>
      </c>
      <c r="AE21" s="31">
        <f t="shared" ref="AE21" si="310">Y21-AD21</f>
        <v>164940</v>
      </c>
      <c r="AF21" s="80">
        <v>185040</v>
      </c>
      <c r="AG21" s="71">
        <v>158280</v>
      </c>
      <c r="AH21" s="29">
        <f t="shared" ref="AH21" si="311">AF21-AG21</f>
        <v>26760</v>
      </c>
      <c r="AI21" s="28">
        <v>145060</v>
      </c>
      <c r="AJ21" s="29">
        <f t="shared" ref="AJ21" si="312">AF21-AI21</f>
        <v>39980</v>
      </c>
      <c r="AK21" s="30">
        <v>15240</v>
      </c>
      <c r="AL21" s="31">
        <f t="shared" ref="AL21" si="313">AF21-AK21</f>
        <v>169800</v>
      </c>
      <c r="AM21" s="64">
        <v>185067</v>
      </c>
      <c r="AN21" s="28">
        <v>161720</v>
      </c>
      <c r="AO21" s="29">
        <f t="shared" si="15"/>
        <v>23347</v>
      </c>
      <c r="AP21" s="28">
        <v>146387</v>
      </c>
      <c r="AQ21" s="29">
        <f t="shared" si="16"/>
        <v>38680</v>
      </c>
      <c r="AR21" s="65">
        <v>17957</v>
      </c>
      <c r="AS21" s="31">
        <f t="shared" si="17"/>
        <v>167110</v>
      </c>
      <c r="AT21" s="23">
        <v>115119</v>
      </c>
      <c r="AU21" s="19">
        <v>95120</v>
      </c>
      <c r="AV21" s="20">
        <f t="shared" si="18"/>
        <v>19999</v>
      </c>
      <c r="AW21" s="19">
        <v>76180</v>
      </c>
      <c r="AX21" s="20">
        <f t="shared" si="19"/>
        <v>38939</v>
      </c>
      <c r="AY21" s="21">
        <v>6100</v>
      </c>
      <c r="AZ21" s="22">
        <f t="shared" si="20"/>
        <v>109019</v>
      </c>
      <c r="BA21" s="23">
        <v>167272</v>
      </c>
      <c r="BB21" s="19">
        <v>144670</v>
      </c>
      <c r="BC21" s="20">
        <f t="shared" si="21"/>
        <v>22602</v>
      </c>
      <c r="BD21" s="19">
        <v>122540</v>
      </c>
      <c r="BE21" s="20">
        <f t="shared" si="22"/>
        <v>44732</v>
      </c>
      <c r="BF21" s="21">
        <v>16800</v>
      </c>
      <c r="BG21" s="22">
        <f t="shared" si="23"/>
        <v>150472</v>
      </c>
      <c r="BH21" s="23">
        <v>134729</v>
      </c>
      <c r="BI21" s="19">
        <v>113099</v>
      </c>
      <c r="BJ21" s="20">
        <f t="shared" si="24"/>
        <v>21630</v>
      </c>
      <c r="BK21" s="19">
        <v>99180</v>
      </c>
      <c r="BL21" s="20">
        <f t="shared" si="25"/>
        <v>35549</v>
      </c>
      <c r="BM21" s="21">
        <v>12780</v>
      </c>
      <c r="BN21" s="22">
        <f t="shared" si="26"/>
        <v>121949</v>
      </c>
      <c r="BO21" s="23">
        <v>142133</v>
      </c>
      <c r="BP21" s="24">
        <v>123273</v>
      </c>
      <c r="BQ21" s="20">
        <f t="shared" si="27"/>
        <v>18860</v>
      </c>
      <c r="BR21" s="24">
        <v>112140</v>
      </c>
      <c r="BS21" s="20">
        <f t="shared" si="28"/>
        <v>29993</v>
      </c>
      <c r="BT21" s="21">
        <v>8773</v>
      </c>
      <c r="BU21" s="34">
        <f t="shared" si="29"/>
        <v>133360</v>
      </c>
      <c r="BV21" s="35">
        <v>95917</v>
      </c>
      <c r="BW21" s="36">
        <v>83277</v>
      </c>
      <c r="BX21" s="37">
        <f t="shared" si="30"/>
        <v>12640</v>
      </c>
      <c r="BY21" s="36">
        <v>67258</v>
      </c>
      <c r="BZ21" s="37">
        <f t="shared" si="31"/>
        <v>28659</v>
      </c>
      <c r="CA21" s="38">
        <v>8920</v>
      </c>
      <c r="CB21" s="39">
        <f t="shared" si="32"/>
        <v>86997</v>
      </c>
      <c r="CC21" s="37">
        <v>168216</v>
      </c>
      <c r="CD21" s="37">
        <v>144999</v>
      </c>
      <c r="CE21" s="37">
        <f t="shared" si="33"/>
        <v>23217</v>
      </c>
      <c r="CF21" s="37">
        <v>125600</v>
      </c>
      <c r="CG21" s="37">
        <f t="shared" si="34"/>
        <v>42616</v>
      </c>
      <c r="CH21" s="40">
        <v>12319</v>
      </c>
      <c r="CI21" s="39">
        <f t="shared" si="35"/>
        <v>155897</v>
      </c>
      <c r="CJ21" s="37">
        <v>150679</v>
      </c>
      <c r="CK21" s="37">
        <v>127979</v>
      </c>
      <c r="CL21" s="37">
        <f>CJ21-CK21</f>
        <v>22700</v>
      </c>
      <c r="CM21" s="37">
        <v>109175</v>
      </c>
      <c r="CN21" s="37">
        <f>CJ21-CM21</f>
        <v>41504</v>
      </c>
      <c r="CO21" s="40">
        <v>15519</v>
      </c>
      <c r="CP21" s="41">
        <f>CJ21-CO21</f>
        <v>135160</v>
      </c>
      <c r="CQ21" s="37">
        <v>82475</v>
      </c>
      <c r="CR21" s="40">
        <v>11999</v>
      </c>
      <c r="CS21" s="41">
        <f t="shared" si="54"/>
        <v>70476</v>
      </c>
      <c r="CT21" s="37">
        <v>140025</v>
      </c>
      <c r="CU21" s="40">
        <v>12920</v>
      </c>
      <c r="CV21" s="41">
        <f t="shared" si="55"/>
        <v>127105</v>
      </c>
      <c r="CW21" s="37">
        <v>159432</v>
      </c>
      <c r="CX21" s="40">
        <v>17539</v>
      </c>
      <c r="CY21" s="41">
        <f t="shared" si="266"/>
        <v>141893</v>
      </c>
      <c r="CZ21" s="37">
        <v>103179</v>
      </c>
      <c r="DA21" s="40">
        <v>13160</v>
      </c>
      <c r="DB21" s="41">
        <f t="shared" si="267"/>
        <v>90019</v>
      </c>
      <c r="DC21" s="37">
        <v>105959</v>
      </c>
      <c r="DD21" s="40">
        <v>8301</v>
      </c>
      <c r="DE21" s="42">
        <f t="shared" si="268"/>
        <v>97658</v>
      </c>
    </row>
    <row r="22" spans="1:109" s="1" customFormat="1" ht="12.5" x14ac:dyDescent="0.25">
      <c r="A22" s="112" t="s">
        <v>44</v>
      </c>
      <c r="B22" s="122">
        <f>150900+63159</f>
        <v>214059</v>
      </c>
      <c r="C22" s="84">
        <f>132420+61420</f>
        <v>193840</v>
      </c>
      <c r="D22" s="29">
        <f t="shared" ref="D22" si="314">B22-C22</f>
        <v>20219</v>
      </c>
      <c r="E22" s="84">
        <f>112000+10620+57760+900</f>
        <v>181280</v>
      </c>
      <c r="F22" s="29">
        <f t="shared" ref="F22" si="315">B22-E22</f>
        <v>32779</v>
      </c>
      <c r="G22" s="65">
        <v>63159</v>
      </c>
      <c r="H22" s="116">
        <f t="shared" ref="H22" si="316">B22-G22</f>
        <v>150900</v>
      </c>
      <c r="I22" s="121"/>
      <c r="J22" s="80">
        <f>184536+160759</f>
        <v>345295</v>
      </c>
      <c r="K22" s="89">
        <f>159256+156520</f>
        <v>315776</v>
      </c>
      <c r="L22" s="90">
        <f t="shared" ref="L22" si="317">J22-K22</f>
        <v>29519</v>
      </c>
      <c r="M22" s="89">
        <f>136920+13020+151600+3359</f>
        <v>304899</v>
      </c>
      <c r="N22" s="90">
        <f t="shared" ref="N22" si="318">J22-M22</f>
        <v>40396</v>
      </c>
      <c r="O22" s="105">
        <v>160759</v>
      </c>
      <c r="P22" s="96">
        <f t="shared" ref="P22" si="319">J22-O22</f>
        <v>184536</v>
      </c>
      <c r="Q22" s="108"/>
      <c r="R22" s="80">
        <f>177799+68760</f>
        <v>246559</v>
      </c>
      <c r="S22" s="84">
        <f>151799+64960</f>
        <v>216759</v>
      </c>
      <c r="T22" s="29">
        <f t="shared" ref="T22" si="320">R22-S22</f>
        <v>29800</v>
      </c>
      <c r="U22" s="84">
        <f>127400+11760+56720+1620</f>
        <v>197500</v>
      </c>
      <c r="V22" s="29">
        <f t="shared" ref="V22" si="321">R22-U22</f>
        <v>49059</v>
      </c>
      <c r="W22" s="65">
        <v>68760</v>
      </c>
      <c r="X22" s="31">
        <f t="shared" ref="X22" si="322">R22-W22</f>
        <v>177799</v>
      </c>
      <c r="Y22" s="83">
        <f>158347+50339</f>
        <v>208686</v>
      </c>
      <c r="Z22" s="28">
        <f>137559+45096</f>
        <v>182655</v>
      </c>
      <c r="AA22" s="29">
        <f t="shared" ref="AA22" si="323">Y22-Z22</f>
        <v>26031</v>
      </c>
      <c r="AB22" s="28">
        <f>111559+9930+40296+4383</f>
        <v>166168</v>
      </c>
      <c r="AC22" s="29">
        <f t="shared" ref="AC22" si="324">Y22-AB22</f>
        <v>42518</v>
      </c>
      <c r="AD22" s="30">
        <v>50339</v>
      </c>
      <c r="AE22" s="31">
        <f t="shared" ref="AE22" si="325">Y22-AD22</f>
        <v>158347</v>
      </c>
      <c r="AF22" s="80">
        <v>193240</v>
      </c>
      <c r="AG22" s="71">
        <v>167620</v>
      </c>
      <c r="AH22" s="29">
        <f t="shared" ref="AH22" si="326">AF22-AG22</f>
        <v>25620</v>
      </c>
      <c r="AI22" s="28">
        <v>150760</v>
      </c>
      <c r="AJ22" s="29">
        <f t="shared" ref="AJ22" si="327">AF22-AI22</f>
        <v>42480</v>
      </c>
      <c r="AK22" s="30">
        <v>21620</v>
      </c>
      <c r="AL22" s="31">
        <f t="shared" ref="AL22" si="328">AF22-AK22</f>
        <v>171620</v>
      </c>
      <c r="AM22" s="64">
        <v>191405</v>
      </c>
      <c r="AN22" s="28">
        <v>163720</v>
      </c>
      <c r="AO22" s="29">
        <f t="shared" si="15"/>
        <v>27685</v>
      </c>
      <c r="AP22" s="28">
        <v>146007</v>
      </c>
      <c r="AQ22" s="29">
        <f t="shared" si="16"/>
        <v>45398</v>
      </c>
      <c r="AR22" s="65">
        <v>16517</v>
      </c>
      <c r="AS22" s="31">
        <f t="shared" si="17"/>
        <v>174888</v>
      </c>
      <c r="AT22" s="23">
        <v>120396</v>
      </c>
      <c r="AU22" s="19">
        <v>100076</v>
      </c>
      <c r="AV22" s="20">
        <f t="shared" si="18"/>
        <v>20320</v>
      </c>
      <c r="AW22" s="19">
        <v>82796</v>
      </c>
      <c r="AX22" s="20">
        <f t="shared" si="19"/>
        <v>37600</v>
      </c>
      <c r="AY22" s="21">
        <v>18236</v>
      </c>
      <c r="AZ22" s="22">
        <f t="shared" si="20"/>
        <v>102160</v>
      </c>
      <c r="BA22" s="23">
        <v>163267</v>
      </c>
      <c r="BB22" s="19">
        <v>139220</v>
      </c>
      <c r="BC22" s="20">
        <f t="shared" si="21"/>
        <v>24047</v>
      </c>
      <c r="BD22" s="19">
        <v>118610</v>
      </c>
      <c r="BE22" s="20">
        <f t="shared" si="22"/>
        <v>44657</v>
      </c>
      <c r="BF22" s="21">
        <v>17820</v>
      </c>
      <c r="BG22" s="22">
        <f t="shared" si="23"/>
        <v>145447</v>
      </c>
      <c r="BH22" s="23">
        <v>131634</v>
      </c>
      <c r="BI22" s="19">
        <v>109711</v>
      </c>
      <c r="BJ22" s="20">
        <f t="shared" si="24"/>
        <v>21923</v>
      </c>
      <c r="BK22" s="19">
        <v>95620</v>
      </c>
      <c r="BL22" s="20">
        <f t="shared" si="25"/>
        <v>36014</v>
      </c>
      <c r="BM22" s="21">
        <v>10180</v>
      </c>
      <c r="BN22" s="22">
        <f t="shared" si="26"/>
        <v>121454</v>
      </c>
      <c r="BO22" s="23">
        <v>144104</v>
      </c>
      <c r="BP22" s="24">
        <v>122740</v>
      </c>
      <c r="BQ22" s="20">
        <f t="shared" si="27"/>
        <v>21364</v>
      </c>
      <c r="BR22" s="24">
        <v>115600</v>
      </c>
      <c r="BS22" s="20">
        <f t="shared" si="28"/>
        <v>28504</v>
      </c>
      <c r="BT22" s="21">
        <v>9806</v>
      </c>
      <c r="BU22" s="34">
        <f t="shared" si="29"/>
        <v>134298</v>
      </c>
      <c r="BV22" s="35">
        <v>105301</v>
      </c>
      <c r="BW22" s="36">
        <v>90940</v>
      </c>
      <c r="BX22" s="37">
        <f t="shared" si="30"/>
        <v>14361</v>
      </c>
      <c r="BY22" s="36">
        <v>72059</v>
      </c>
      <c r="BZ22" s="37">
        <f t="shared" si="31"/>
        <v>33242</v>
      </c>
      <c r="CA22" s="38">
        <v>9080</v>
      </c>
      <c r="CB22" s="39">
        <f t="shared" si="32"/>
        <v>96221</v>
      </c>
      <c r="CC22" s="37">
        <v>166628</v>
      </c>
      <c r="CD22" s="37">
        <v>141552</v>
      </c>
      <c r="CE22" s="37">
        <f t="shared" si="33"/>
        <v>25076</v>
      </c>
      <c r="CF22" s="37">
        <v>117462</v>
      </c>
      <c r="CG22" s="37">
        <f t="shared" si="34"/>
        <v>49166</v>
      </c>
      <c r="CH22" s="40">
        <v>17432</v>
      </c>
      <c r="CI22" s="39">
        <f t="shared" si="35"/>
        <v>149196</v>
      </c>
      <c r="CJ22" s="37">
        <v>137946</v>
      </c>
      <c r="CK22" s="37">
        <v>118300</v>
      </c>
      <c r="CL22" s="37">
        <f>CJ22-CK22</f>
        <v>19646</v>
      </c>
      <c r="CM22" s="37">
        <v>100888</v>
      </c>
      <c r="CN22" s="37">
        <f>CJ22-CM22</f>
        <v>37058</v>
      </c>
      <c r="CO22" s="40">
        <v>13340</v>
      </c>
      <c r="CP22" s="41">
        <f t="shared" si="38"/>
        <v>124606</v>
      </c>
      <c r="CQ22" s="37">
        <v>86983</v>
      </c>
      <c r="CR22" s="40">
        <v>12080</v>
      </c>
      <c r="CS22" s="41">
        <f t="shared" si="54"/>
        <v>74903</v>
      </c>
      <c r="CT22" s="37">
        <v>139529</v>
      </c>
      <c r="CU22" s="40">
        <v>14440</v>
      </c>
      <c r="CV22" s="41">
        <f t="shared" si="55"/>
        <v>125089</v>
      </c>
      <c r="CW22" s="37">
        <v>152485</v>
      </c>
      <c r="CX22" s="40">
        <v>13995</v>
      </c>
      <c r="CY22" s="41">
        <f t="shared" si="266"/>
        <v>138490</v>
      </c>
      <c r="CZ22" s="37">
        <v>101698</v>
      </c>
      <c r="DA22" s="40">
        <v>7399</v>
      </c>
      <c r="DB22" s="41">
        <f t="shared" si="267"/>
        <v>94299</v>
      </c>
      <c r="DC22" s="37">
        <v>128804</v>
      </c>
      <c r="DD22" s="40">
        <v>5080</v>
      </c>
      <c r="DE22" s="42">
        <f t="shared" si="268"/>
        <v>123724</v>
      </c>
    </row>
    <row r="23" spans="1:109" s="1" customFormat="1" ht="12.5" x14ac:dyDescent="0.25">
      <c r="A23" s="112" t="s">
        <v>45</v>
      </c>
      <c r="B23" s="122">
        <f>157451+55019</f>
        <v>212470</v>
      </c>
      <c r="C23" s="84">
        <f>137640+52840</f>
        <v>190480</v>
      </c>
      <c r="D23" s="29">
        <f t="shared" ref="D23" si="329">B23-C23</f>
        <v>21990</v>
      </c>
      <c r="E23" s="84">
        <f>115240+10572+48520+1900</f>
        <v>176232</v>
      </c>
      <c r="F23" s="29">
        <f t="shared" ref="F23" si="330">B23-E23</f>
        <v>36238</v>
      </c>
      <c r="G23" s="65">
        <v>55019</v>
      </c>
      <c r="H23" s="116">
        <f t="shared" ref="H23" si="331">B23-G23</f>
        <v>157451</v>
      </c>
      <c r="I23" s="121"/>
      <c r="J23" s="80">
        <f>178132+79841</f>
        <v>257973</v>
      </c>
      <c r="K23" s="89">
        <f>155060+75541</f>
        <v>230601</v>
      </c>
      <c r="L23" s="90">
        <f t="shared" ref="L23" si="332">J23-K23</f>
        <v>27372</v>
      </c>
      <c r="M23" s="89">
        <f>134400+12132+69160+3480</f>
        <v>219172</v>
      </c>
      <c r="N23" s="90">
        <f t="shared" ref="N23" si="333">J23-M23</f>
        <v>38801</v>
      </c>
      <c r="O23" s="105">
        <v>79841</v>
      </c>
      <c r="P23" s="96">
        <f t="shared" ref="P23" si="334">J23-O23</f>
        <v>178132</v>
      </c>
      <c r="Q23" s="108"/>
      <c r="R23" s="80">
        <f>179720+51379</f>
        <v>231099</v>
      </c>
      <c r="S23" s="84">
        <f>153600+48200</f>
        <v>201800</v>
      </c>
      <c r="T23" s="29">
        <f t="shared" ref="T23" si="335">R23-S23</f>
        <v>29299</v>
      </c>
      <c r="U23" s="84">
        <f>127320+13420+42480+1860</f>
        <v>185080</v>
      </c>
      <c r="V23" s="29">
        <f t="shared" ref="V23" si="336">R23-U23</f>
        <v>46019</v>
      </c>
      <c r="W23" s="65">
        <v>51379</v>
      </c>
      <c r="X23" s="31">
        <f t="shared" ref="X23" si="337">R23-W23</f>
        <v>179720</v>
      </c>
      <c r="Y23" s="83">
        <f>155810+53056</f>
        <v>208866</v>
      </c>
      <c r="Z23" s="28">
        <f>132320+45760</f>
        <v>178080</v>
      </c>
      <c r="AA23" s="29">
        <f t="shared" ref="AA23" si="338">Y23-Z23</f>
        <v>30786</v>
      </c>
      <c r="AB23" s="28">
        <f>107600+10680+41440+6516</f>
        <v>166236</v>
      </c>
      <c r="AC23" s="29">
        <f t="shared" ref="AC23" si="339">Y23-AB23</f>
        <v>42630</v>
      </c>
      <c r="AD23" s="30">
        <v>53056</v>
      </c>
      <c r="AE23" s="31">
        <f t="shared" ref="AE23" si="340">Y23-AD23</f>
        <v>155810</v>
      </c>
      <c r="AF23" s="80">
        <v>194678</v>
      </c>
      <c r="AG23" s="71">
        <v>168459</v>
      </c>
      <c r="AH23" s="29">
        <f t="shared" ref="AH23" si="341">AF23-AG23</f>
        <v>26219</v>
      </c>
      <c r="AI23" s="28">
        <v>147800</v>
      </c>
      <c r="AJ23" s="29">
        <f t="shared" ref="AJ23" si="342">AF23-AI23</f>
        <v>46878</v>
      </c>
      <c r="AK23" s="30">
        <v>19979</v>
      </c>
      <c r="AL23" s="31">
        <f t="shared" ref="AL23" si="343">AF23-AK23</f>
        <v>174699</v>
      </c>
      <c r="AM23" s="64">
        <v>186014</v>
      </c>
      <c r="AN23" s="28">
        <v>163180</v>
      </c>
      <c r="AO23" s="29">
        <f t="shared" si="15"/>
        <v>22834</v>
      </c>
      <c r="AP23" s="28">
        <v>146704</v>
      </c>
      <c r="AQ23" s="29">
        <f t="shared" si="16"/>
        <v>39310</v>
      </c>
      <c r="AR23" s="65">
        <v>16407</v>
      </c>
      <c r="AS23" s="31">
        <f t="shared" si="17"/>
        <v>169607</v>
      </c>
      <c r="AT23" s="23">
        <v>128600</v>
      </c>
      <c r="AU23" s="19">
        <v>108140</v>
      </c>
      <c r="AV23" s="20">
        <f t="shared" si="18"/>
        <v>20460</v>
      </c>
      <c r="AW23" s="19">
        <v>82040</v>
      </c>
      <c r="AX23" s="20">
        <f t="shared" si="19"/>
        <v>46560</v>
      </c>
      <c r="AY23" s="21">
        <v>24080</v>
      </c>
      <c r="AZ23" s="22">
        <f t="shared" si="20"/>
        <v>104520</v>
      </c>
      <c r="BA23" s="23">
        <v>158119</v>
      </c>
      <c r="BB23" s="19">
        <v>134760</v>
      </c>
      <c r="BC23" s="20">
        <f t="shared" si="21"/>
        <v>23359</v>
      </c>
      <c r="BD23" s="19">
        <v>116320</v>
      </c>
      <c r="BE23" s="20">
        <f t="shared" si="22"/>
        <v>41799</v>
      </c>
      <c r="BF23" s="21">
        <v>8540</v>
      </c>
      <c r="BG23" s="22">
        <f t="shared" si="23"/>
        <v>149579</v>
      </c>
      <c r="BH23" s="23">
        <v>131700</v>
      </c>
      <c r="BI23" s="19">
        <v>112400</v>
      </c>
      <c r="BJ23" s="20">
        <f t="shared" si="24"/>
        <v>19300</v>
      </c>
      <c r="BK23" s="19">
        <v>97480</v>
      </c>
      <c r="BL23" s="20">
        <f t="shared" si="25"/>
        <v>34220</v>
      </c>
      <c r="BM23" s="21">
        <v>8800</v>
      </c>
      <c r="BN23" s="22">
        <f t="shared" si="26"/>
        <v>122900</v>
      </c>
      <c r="BO23" s="23">
        <v>146216</v>
      </c>
      <c r="BP23" s="24">
        <v>125558</v>
      </c>
      <c r="BQ23" s="20">
        <f t="shared" si="27"/>
        <v>20658</v>
      </c>
      <c r="BR23" s="24">
        <v>112700</v>
      </c>
      <c r="BS23" s="20">
        <f t="shared" si="28"/>
        <v>33516</v>
      </c>
      <c r="BT23" s="21">
        <v>14278</v>
      </c>
      <c r="BU23" s="34">
        <f t="shared" si="29"/>
        <v>131938</v>
      </c>
      <c r="BV23" s="35">
        <v>126760</v>
      </c>
      <c r="BW23" s="36">
        <v>111060</v>
      </c>
      <c r="BX23" s="37">
        <f t="shared" si="30"/>
        <v>15700</v>
      </c>
      <c r="BY23" s="36">
        <v>91900</v>
      </c>
      <c r="BZ23" s="37">
        <f t="shared" si="31"/>
        <v>34860</v>
      </c>
      <c r="CA23" s="38">
        <v>10820</v>
      </c>
      <c r="CB23" s="39">
        <f t="shared" si="32"/>
        <v>115940</v>
      </c>
      <c r="CC23" s="37">
        <v>165603</v>
      </c>
      <c r="CD23" s="37">
        <v>138059</v>
      </c>
      <c r="CE23" s="37">
        <f t="shared" si="33"/>
        <v>27544</v>
      </c>
      <c r="CF23" s="37">
        <v>117125</v>
      </c>
      <c r="CG23" s="37">
        <f t="shared" si="34"/>
        <v>48478</v>
      </c>
      <c r="CH23" s="40">
        <v>13500</v>
      </c>
      <c r="CI23" s="39">
        <f t="shared" si="35"/>
        <v>152103</v>
      </c>
      <c r="CJ23" s="37">
        <v>145709</v>
      </c>
      <c r="CK23" s="37">
        <v>125640</v>
      </c>
      <c r="CL23" s="37">
        <v>20069</v>
      </c>
      <c r="CM23" s="37">
        <v>103957</v>
      </c>
      <c r="CN23" s="37">
        <v>41752</v>
      </c>
      <c r="CO23" s="40">
        <v>12037</v>
      </c>
      <c r="CP23" s="41">
        <f t="shared" si="38"/>
        <v>133672</v>
      </c>
      <c r="CQ23" s="37">
        <v>87531</v>
      </c>
      <c r="CR23" s="40">
        <v>6185</v>
      </c>
      <c r="CS23" s="41">
        <f t="shared" si="54"/>
        <v>81346</v>
      </c>
      <c r="CT23" s="37">
        <v>148024</v>
      </c>
      <c r="CU23" s="40">
        <v>27568</v>
      </c>
      <c r="CV23" s="41">
        <f t="shared" si="55"/>
        <v>120456</v>
      </c>
      <c r="CW23" s="37">
        <v>151612</v>
      </c>
      <c r="CX23" s="40">
        <v>15670</v>
      </c>
      <c r="CY23" s="41">
        <f t="shared" si="266"/>
        <v>135942</v>
      </c>
      <c r="CZ23" s="37">
        <v>107450</v>
      </c>
      <c r="DA23" s="40">
        <v>6499</v>
      </c>
      <c r="DB23" s="41">
        <f t="shared" si="267"/>
        <v>100951</v>
      </c>
      <c r="DC23" s="37">
        <v>120642</v>
      </c>
      <c r="DD23" s="40">
        <v>4595</v>
      </c>
      <c r="DE23" s="42">
        <f t="shared" si="268"/>
        <v>116047</v>
      </c>
    </row>
    <row r="24" spans="1:109" s="1" customFormat="1" ht="12.5" x14ac:dyDescent="0.25">
      <c r="A24" s="112" t="s">
        <v>46</v>
      </c>
      <c r="B24" s="122">
        <f>153439+41740</f>
        <v>195179</v>
      </c>
      <c r="C24" s="84">
        <f>135020+38980</f>
        <v>174000</v>
      </c>
      <c r="D24" s="29">
        <f t="shared" ref="D24" si="344">B24-C24</f>
        <v>21179</v>
      </c>
      <c r="E24" s="84">
        <f>115120+9740+36400+1760</f>
        <v>163020</v>
      </c>
      <c r="F24" s="29">
        <f t="shared" ref="F24" si="345">B24-E24</f>
        <v>32159</v>
      </c>
      <c r="G24" s="65">
        <v>41740</v>
      </c>
      <c r="H24" s="116">
        <f t="shared" ref="H24" si="346">B24-G24</f>
        <v>153439</v>
      </c>
      <c r="I24" s="121"/>
      <c r="J24" s="80">
        <f>178900+89560</f>
        <v>268460</v>
      </c>
      <c r="K24" s="89">
        <f>155000+82320</f>
        <v>237320</v>
      </c>
      <c r="L24" s="90">
        <f t="shared" ref="L24" si="347">J24-K24</f>
        <v>31140</v>
      </c>
      <c r="M24" s="89">
        <f>133080+11900+76520+4660</f>
        <v>226160</v>
      </c>
      <c r="N24" s="90">
        <f t="shared" ref="N24" si="348">J24-M24</f>
        <v>42300</v>
      </c>
      <c r="O24" s="105">
        <v>89560</v>
      </c>
      <c r="P24" s="96">
        <f t="shared" ref="P24" si="349">J24-O24</f>
        <v>178900</v>
      </c>
      <c r="Q24" s="108"/>
      <c r="R24" s="80">
        <f>177419+82020</f>
        <v>259439</v>
      </c>
      <c r="S24" s="84">
        <f>147000+77901</f>
        <v>224901</v>
      </c>
      <c r="T24" s="29">
        <f t="shared" ref="T24" si="350">R24-S24</f>
        <v>34538</v>
      </c>
      <c r="U24" s="84">
        <f>118360+14220+69360+2099</f>
        <v>204039</v>
      </c>
      <c r="V24" s="29">
        <f t="shared" ref="V24" si="351">R24-U24</f>
        <v>55400</v>
      </c>
      <c r="W24" s="65">
        <v>82020</v>
      </c>
      <c r="X24" s="31">
        <f t="shared" ref="X24" si="352">R24-W24</f>
        <v>177419</v>
      </c>
      <c r="Y24" s="83">
        <f>166219+52019</f>
        <v>218238</v>
      </c>
      <c r="Z24" s="28">
        <f>141560+43680</f>
        <v>185240</v>
      </c>
      <c r="AA24" s="29">
        <f t="shared" ref="AA24" si="353">Y24-Z24</f>
        <v>32998</v>
      </c>
      <c r="AB24" s="28">
        <f>117600+13180+40280+7819</f>
        <v>178879</v>
      </c>
      <c r="AC24" s="29">
        <f t="shared" ref="AC24" si="354">Y24-AB24</f>
        <v>39359</v>
      </c>
      <c r="AD24" s="30">
        <v>52019</v>
      </c>
      <c r="AE24" s="31">
        <f t="shared" ref="AE24" si="355">Y24-AD24</f>
        <v>166219</v>
      </c>
      <c r="AF24" s="80">
        <v>190484</v>
      </c>
      <c r="AG24" s="71">
        <v>163698</v>
      </c>
      <c r="AH24" s="29">
        <f t="shared" ref="AH24" si="356">AF24-AG24</f>
        <v>26786</v>
      </c>
      <c r="AI24" s="28">
        <v>147820</v>
      </c>
      <c r="AJ24" s="29">
        <f t="shared" ref="AJ24" si="357">AF24-AI24</f>
        <v>42664</v>
      </c>
      <c r="AK24" s="30">
        <v>11000</v>
      </c>
      <c r="AL24" s="31">
        <f t="shared" ref="AL24" si="358">AF24-AK24</f>
        <v>179484</v>
      </c>
      <c r="AM24" s="64">
        <v>190038</v>
      </c>
      <c r="AN24" s="28">
        <v>163220</v>
      </c>
      <c r="AO24" s="29">
        <f t="shared" si="15"/>
        <v>26818</v>
      </c>
      <c r="AP24" s="28">
        <v>146818</v>
      </c>
      <c r="AQ24" s="29">
        <f t="shared" si="16"/>
        <v>43220</v>
      </c>
      <c r="AR24" s="65">
        <v>17658</v>
      </c>
      <c r="AS24" s="31">
        <f t="shared" si="17"/>
        <v>172380</v>
      </c>
      <c r="AT24" s="23">
        <v>134740</v>
      </c>
      <c r="AU24" s="19">
        <v>112380</v>
      </c>
      <c r="AV24" s="20">
        <f t="shared" si="18"/>
        <v>22360</v>
      </c>
      <c r="AW24" s="19">
        <v>86640</v>
      </c>
      <c r="AX24" s="20">
        <f t="shared" si="19"/>
        <v>48100</v>
      </c>
      <c r="AY24" s="21">
        <v>18160</v>
      </c>
      <c r="AZ24" s="22">
        <f t="shared" si="20"/>
        <v>116580</v>
      </c>
      <c r="BA24" s="23">
        <v>158710</v>
      </c>
      <c r="BB24" s="19">
        <v>133894</v>
      </c>
      <c r="BC24" s="20">
        <f t="shared" si="21"/>
        <v>24816</v>
      </c>
      <c r="BD24" s="19">
        <v>112815</v>
      </c>
      <c r="BE24" s="20">
        <f t="shared" si="22"/>
        <v>45895</v>
      </c>
      <c r="BF24" s="21">
        <v>14780</v>
      </c>
      <c r="BG24" s="22">
        <f t="shared" si="23"/>
        <v>143930</v>
      </c>
      <c r="BH24" s="23">
        <v>137700</v>
      </c>
      <c r="BI24" s="19">
        <v>116000</v>
      </c>
      <c r="BJ24" s="20">
        <f t="shared" si="24"/>
        <v>21700</v>
      </c>
      <c r="BK24" s="19">
        <v>95020</v>
      </c>
      <c r="BL24" s="20">
        <f t="shared" si="25"/>
        <v>42680</v>
      </c>
      <c r="BM24" s="21">
        <v>10780</v>
      </c>
      <c r="BN24" s="22">
        <f t="shared" si="26"/>
        <v>126920</v>
      </c>
      <c r="BO24" s="23">
        <v>143286</v>
      </c>
      <c r="BP24" s="24">
        <v>125300</v>
      </c>
      <c r="BQ24" s="20">
        <f t="shared" si="27"/>
        <v>17986</v>
      </c>
      <c r="BR24" s="24">
        <v>111500</v>
      </c>
      <c r="BS24" s="20">
        <f t="shared" si="28"/>
        <v>31786</v>
      </c>
      <c r="BT24" s="21">
        <v>6920</v>
      </c>
      <c r="BU24" s="34">
        <f t="shared" si="29"/>
        <v>136366</v>
      </c>
      <c r="BV24" s="35">
        <v>128075</v>
      </c>
      <c r="BW24" s="36">
        <v>112298</v>
      </c>
      <c r="BX24" s="37">
        <f t="shared" si="30"/>
        <v>15777</v>
      </c>
      <c r="BY24" s="36">
        <v>93815</v>
      </c>
      <c r="BZ24" s="37">
        <f t="shared" si="31"/>
        <v>34260</v>
      </c>
      <c r="CA24" s="38">
        <v>10718</v>
      </c>
      <c r="CB24" s="39">
        <f t="shared" si="32"/>
        <v>117357</v>
      </c>
      <c r="CC24" s="37">
        <v>170461</v>
      </c>
      <c r="CD24" s="37">
        <v>143918</v>
      </c>
      <c r="CE24" s="37">
        <f t="shared" si="33"/>
        <v>26543</v>
      </c>
      <c r="CF24" s="37">
        <v>122379</v>
      </c>
      <c r="CG24" s="37">
        <f t="shared" si="34"/>
        <v>48082</v>
      </c>
      <c r="CH24" s="40">
        <v>17140</v>
      </c>
      <c r="CI24" s="39">
        <f t="shared" si="35"/>
        <v>153321</v>
      </c>
      <c r="CJ24" s="37">
        <v>163106</v>
      </c>
      <c r="CK24" s="37">
        <v>141880</v>
      </c>
      <c r="CL24" s="37">
        <f t="shared" ref="CL24:CL52" si="359">CJ24-CK24</f>
        <v>21226</v>
      </c>
      <c r="CM24" s="37">
        <v>118660</v>
      </c>
      <c r="CN24" s="37">
        <f t="shared" ref="CN24:CN52" si="360">CJ24-CM24</f>
        <v>44446</v>
      </c>
      <c r="CO24" s="40">
        <v>22000</v>
      </c>
      <c r="CP24" s="41">
        <f t="shared" si="38"/>
        <v>141106</v>
      </c>
      <c r="CQ24" s="37">
        <v>92295</v>
      </c>
      <c r="CR24" s="40">
        <v>6320</v>
      </c>
      <c r="CS24" s="41">
        <f t="shared" si="54"/>
        <v>85975</v>
      </c>
      <c r="CT24" s="37">
        <v>145016</v>
      </c>
      <c r="CU24" s="40">
        <v>19416</v>
      </c>
      <c r="CV24" s="41">
        <f t="shared" si="55"/>
        <v>125600</v>
      </c>
      <c r="CW24" s="37">
        <v>158196</v>
      </c>
      <c r="CX24" s="40">
        <v>23460</v>
      </c>
      <c r="CY24" s="41">
        <f t="shared" si="266"/>
        <v>134736</v>
      </c>
      <c r="CZ24" s="37">
        <v>119175</v>
      </c>
      <c r="DA24" s="40">
        <v>16210</v>
      </c>
      <c r="DB24" s="41">
        <f t="shared" si="267"/>
        <v>102965</v>
      </c>
      <c r="DC24" s="37">
        <v>119487</v>
      </c>
      <c r="DD24" s="40">
        <v>5580</v>
      </c>
      <c r="DE24" s="42">
        <f t="shared" si="268"/>
        <v>113907</v>
      </c>
    </row>
    <row r="25" spans="1:109" s="1" customFormat="1" ht="12.5" x14ac:dyDescent="0.25">
      <c r="A25" s="112" t="s">
        <v>47</v>
      </c>
      <c r="B25" s="122">
        <f>151666+33499</f>
        <v>185165</v>
      </c>
      <c r="C25" s="84">
        <f>133240+31099</f>
        <v>164339</v>
      </c>
      <c r="D25" s="29">
        <f t="shared" ref="D25" si="361">B25-C25</f>
        <v>20826</v>
      </c>
      <c r="E25" s="84">
        <f>114240+9126+26940+1220</f>
        <v>151526</v>
      </c>
      <c r="F25" s="29">
        <f t="shared" ref="F25" si="362">B25-E25</f>
        <v>33639</v>
      </c>
      <c r="G25" s="65">
        <v>33499</v>
      </c>
      <c r="H25" s="116">
        <f t="shared" ref="H25" si="363">B25-G25</f>
        <v>151666</v>
      </c>
      <c r="I25" s="121"/>
      <c r="J25" s="80">
        <f>178400+98259</f>
        <v>276659</v>
      </c>
      <c r="K25" s="89">
        <f>154180+92540</f>
        <v>246720</v>
      </c>
      <c r="L25" s="90">
        <f t="shared" ref="L25" si="364">J25-K25</f>
        <v>29939</v>
      </c>
      <c r="M25" s="89">
        <f>129940+11780+86920+3939</f>
        <v>232579</v>
      </c>
      <c r="N25" s="90">
        <f t="shared" ref="N25" si="365">J25-M25</f>
        <v>44080</v>
      </c>
      <c r="O25" s="105">
        <v>98259</v>
      </c>
      <c r="P25" s="96">
        <f t="shared" ref="P25" si="366">J25-O25</f>
        <v>178400</v>
      </c>
      <c r="Q25" s="108"/>
      <c r="R25" s="80">
        <f>184340+79260</f>
        <v>263600</v>
      </c>
      <c r="S25" s="84">
        <f>155060+77040</f>
        <v>232100</v>
      </c>
      <c r="T25" s="29">
        <f t="shared" ref="T25" si="367">R25-S25</f>
        <v>31500</v>
      </c>
      <c r="U25" s="84">
        <f>128700+12960+69920+1120</f>
        <v>212700</v>
      </c>
      <c r="V25" s="29">
        <f t="shared" ref="V25" si="368">R25-U25</f>
        <v>50900</v>
      </c>
      <c r="W25" s="65">
        <v>79260</v>
      </c>
      <c r="X25" s="31">
        <f t="shared" ref="X25" si="369">R25-W25</f>
        <v>184340</v>
      </c>
      <c r="Y25" s="83">
        <f>149450+51659</f>
        <v>201109</v>
      </c>
      <c r="Z25" s="28">
        <f>124900+46116</f>
        <v>171016</v>
      </c>
      <c r="AA25" s="29">
        <f t="shared" ref="AA25" si="370">Y25-Z25</f>
        <v>30093</v>
      </c>
      <c r="AB25" s="28">
        <f>96080+9640+42236+5143</f>
        <v>153099</v>
      </c>
      <c r="AC25" s="29">
        <f t="shared" ref="AC25" si="371">Y25-AB25</f>
        <v>48010</v>
      </c>
      <c r="AD25" s="30">
        <v>51659</v>
      </c>
      <c r="AE25" s="31">
        <f t="shared" ref="AE25" si="372">Y25-AD25</f>
        <v>149450</v>
      </c>
      <c r="AF25" s="80">
        <v>185454</v>
      </c>
      <c r="AG25" s="71">
        <v>157840</v>
      </c>
      <c r="AH25" s="29">
        <f t="shared" ref="AH25" si="373">AF25-AG25</f>
        <v>27614</v>
      </c>
      <c r="AI25" s="28">
        <v>142074</v>
      </c>
      <c r="AJ25" s="29">
        <f t="shared" ref="AJ25" si="374">AF25-AI25</f>
        <v>43380</v>
      </c>
      <c r="AK25" s="30">
        <v>11360</v>
      </c>
      <c r="AL25" s="31">
        <f t="shared" ref="AL25" si="375">AF25-AK25</f>
        <v>174094</v>
      </c>
      <c r="AM25" s="64">
        <v>204925</v>
      </c>
      <c r="AN25" s="28">
        <v>172040</v>
      </c>
      <c r="AO25" s="29">
        <f t="shared" si="15"/>
        <v>32885</v>
      </c>
      <c r="AP25" s="28">
        <v>162447</v>
      </c>
      <c r="AQ25" s="29">
        <f t="shared" si="16"/>
        <v>42478</v>
      </c>
      <c r="AR25" s="65">
        <v>38165</v>
      </c>
      <c r="AS25" s="31">
        <f t="shared" si="17"/>
        <v>166760</v>
      </c>
      <c r="AT25" s="23">
        <v>138219</v>
      </c>
      <c r="AU25" s="19">
        <v>114180</v>
      </c>
      <c r="AV25" s="20">
        <f t="shared" si="18"/>
        <v>24039</v>
      </c>
      <c r="AW25" s="19">
        <v>90980</v>
      </c>
      <c r="AX25" s="20">
        <f t="shared" si="19"/>
        <v>47239</v>
      </c>
      <c r="AY25" s="21">
        <v>21160</v>
      </c>
      <c r="AZ25" s="22">
        <f t="shared" si="20"/>
        <v>117059</v>
      </c>
      <c r="BA25" s="23">
        <v>156160</v>
      </c>
      <c r="BB25" s="19">
        <v>130800</v>
      </c>
      <c r="BC25" s="20">
        <f t="shared" si="21"/>
        <v>25360</v>
      </c>
      <c r="BD25" s="19">
        <v>109180</v>
      </c>
      <c r="BE25" s="20">
        <f t="shared" si="22"/>
        <v>46980</v>
      </c>
      <c r="BF25" s="21">
        <v>7240</v>
      </c>
      <c r="BG25" s="22">
        <f t="shared" si="23"/>
        <v>148920</v>
      </c>
      <c r="BH25" s="23">
        <v>131786</v>
      </c>
      <c r="BI25" s="24">
        <v>111562</v>
      </c>
      <c r="BJ25" s="20">
        <f t="shared" si="24"/>
        <v>20224</v>
      </c>
      <c r="BK25" s="19">
        <v>94482</v>
      </c>
      <c r="BL25" s="20">
        <f t="shared" si="25"/>
        <v>37304</v>
      </c>
      <c r="BM25" s="21">
        <v>10441</v>
      </c>
      <c r="BN25" s="22">
        <f t="shared" si="26"/>
        <v>121345</v>
      </c>
      <c r="BO25" s="23">
        <v>148330</v>
      </c>
      <c r="BP25" s="24">
        <v>127014</v>
      </c>
      <c r="BQ25" s="20">
        <f t="shared" si="27"/>
        <v>21316</v>
      </c>
      <c r="BR25" s="24">
        <v>112654</v>
      </c>
      <c r="BS25" s="20">
        <f t="shared" si="28"/>
        <v>35676</v>
      </c>
      <c r="BT25" s="21">
        <v>7964</v>
      </c>
      <c r="BU25" s="34">
        <f t="shared" si="29"/>
        <v>140366</v>
      </c>
      <c r="BV25" s="35">
        <v>132269</v>
      </c>
      <c r="BW25" s="36">
        <v>111120</v>
      </c>
      <c r="BX25" s="37">
        <f t="shared" si="30"/>
        <v>21149</v>
      </c>
      <c r="BY25" s="36">
        <v>94009</v>
      </c>
      <c r="BZ25" s="37">
        <f t="shared" si="31"/>
        <v>38260</v>
      </c>
      <c r="CA25" s="38">
        <v>16939</v>
      </c>
      <c r="CB25" s="39">
        <f t="shared" si="32"/>
        <v>115330</v>
      </c>
      <c r="CC25" s="37">
        <v>165116</v>
      </c>
      <c r="CD25" s="37">
        <v>136619</v>
      </c>
      <c r="CE25" s="37">
        <f t="shared" si="33"/>
        <v>28497</v>
      </c>
      <c r="CF25" s="37">
        <v>116337</v>
      </c>
      <c r="CG25" s="37">
        <f t="shared" si="34"/>
        <v>48779</v>
      </c>
      <c r="CH25" s="40">
        <v>13177</v>
      </c>
      <c r="CI25" s="39">
        <f t="shared" si="35"/>
        <v>151939</v>
      </c>
      <c r="CJ25" s="37">
        <v>160984</v>
      </c>
      <c r="CK25" s="37">
        <v>138160</v>
      </c>
      <c r="CL25" s="37">
        <f t="shared" si="359"/>
        <v>22824</v>
      </c>
      <c r="CM25" s="37">
        <v>115396</v>
      </c>
      <c r="CN25" s="37">
        <f t="shared" si="360"/>
        <v>45588</v>
      </c>
      <c r="CO25" s="40">
        <v>20616</v>
      </c>
      <c r="CP25" s="41">
        <f t="shared" si="38"/>
        <v>140368</v>
      </c>
      <c r="CQ25" s="37">
        <v>105291</v>
      </c>
      <c r="CR25" s="40">
        <v>10020</v>
      </c>
      <c r="CS25" s="41">
        <f t="shared" si="54"/>
        <v>95271</v>
      </c>
      <c r="CT25" s="37">
        <v>142855</v>
      </c>
      <c r="CU25" s="40">
        <v>16580</v>
      </c>
      <c r="CV25" s="41">
        <f t="shared" si="55"/>
        <v>126275</v>
      </c>
      <c r="CW25" s="37">
        <v>151554</v>
      </c>
      <c r="CX25" s="40">
        <v>27540</v>
      </c>
      <c r="CY25" s="41">
        <f t="shared" si="266"/>
        <v>124014</v>
      </c>
      <c r="CZ25" s="37">
        <v>115663</v>
      </c>
      <c r="DA25" s="40">
        <v>11500</v>
      </c>
      <c r="DB25" s="41">
        <f t="shared" si="267"/>
        <v>104163</v>
      </c>
      <c r="DC25" s="37">
        <v>117274</v>
      </c>
      <c r="DD25" s="40">
        <v>2937</v>
      </c>
      <c r="DE25" s="42">
        <f t="shared" si="268"/>
        <v>114337</v>
      </c>
    </row>
    <row r="26" spans="1:109" s="1" customFormat="1" ht="12.5" x14ac:dyDescent="0.25">
      <c r="A26" s="112" t="s">
        <v>48</v>
      </c>
      <c r="B26" s="122">
        <f>137160+77578</f>
        <v>214738</v>
      </c>
      <c r="C26" s="84">
        <f>118600+74260</f>
        <v>192860</v>
      </c>
      <c r="D26" s="29">
        <f t="shared" ref="D26" si="376">B26-C26</f>
        <v>21878</v>
      </c>
      <c r="E26" s="84">
        <f>99880+8840+68600+2919</f>
        <v>180239</v>
      </c>
      <c r="F26" s="29">
        <f t="shared" ref="F26" si="377">B26-E26</f>
        <v>34499</v>
      </c>
      <c r="G26" s="65">
        <v>77578</v>
      </c>
      <c r="H26" s="116">
        <f t="shared" ref="H26" si="378">B26-G26</f>
        <v>137160</v>
      </c>
      <c r="I26" s="121"/>
      <c r="J26" s="80">
        <f>173020+104740</f>
        <v>277760</v>
      </c>
      <c r="K26" s="89">
        <f>150760+97880</f>
        <v>248640</v>
      </c>
      <c r="L26" s="90">
        <f t="shared" ref="L26" si="379">J26-K26</f>
        <v>29120</v>
      </c>
      <c r="M26" s="89">
        <f>127640+10240+93600+5560</f>
        <v>237040</v>
      </c>
      <c r="N26" s="90">
        <f t="shared" ref="N26" si="380">J26-M26</f>
        <v>40720</v>
      </c>
      <c r="O26" s="105">
        <v>104740</v>
      </c>
      <c r="P26" s="96">
        <f t="shared" ref="P26" si="381">J26-O26</f>
        <v>173020</v>
      </c>
      <c r="Q26" s="108"/>
      <c r="R26" s="80">
        <f>187978+78278</f>
        <v>266256</v>
      </c>
      <c r="S26" s="84">
        <f>156978+74778</f>
        <v>231756</v>
      </c>
      <c r="T26" s="29">
        <f t="shared" ref="T26" si="382">R26-S26</f>
        <v>34500</v>
      </c>
      <c r="U26" s="84">
        <f>127260+14100+67240+2400</f>
        <v>211000</v>
      </c>
      <c r="V26" s="29">
        <f t="shared" ref="V26" si="383">R26-U26</f>
        <v>55256</v>
      </c>
      <c r="W26" s="65">
        <v>78278</v>
      </c>
      <c r="X26" s="31">
        <f t="shared" ref="X26" si="384">R26-W26</f>
        <v>187978</v>
      </c>
      <c r="Y26" s="83">
        <f>156138+47775</f>
        <v>203913</v>
      </c>
      <c r="Z26" s="28">
        <f>127780+38860</f>
        <v>166640</v>
      </c>
      <c r="AA26" s="29">
        <f t="shared" ref="AA26" si="385">Y26-Z26</f>
        <v>37273</v>
      </c>
      <c r="AB26" s="28">
        <f>98900+12680+35560+8776</f>
        <v>155916</v>
      </c>
      <c r="AC26" s="29">
        <f t="shared" ref="AC26" si="386">Y26-AB26</f>
        <v>47997</v>
      </c>
      <c r="AD26" s="30">
        <v>47775</v>
      </c>
      <c r="AE26" s="31">
        <f t="shared" ref="AE26" si="387">Y26-AD26</f>
        <v>156138</v>
      </c>
      <c r="AF26" s="80">
        <v>198013</v>
      </c>
      <c r="AG26" s="71">
        <v>167660</v>
      </c>
      <c r="AH26" s="29">
        <f t="shared" ref="AH26" si="388">AF26-AG26</f>
        <v>30353</v>
      </c>
      <c r="AI26" s="28">
        <v>149220</v>
      </c>
      <c r="AJ26" s="29">
        <f t="shared" ref="AJ26" si="389">AF26-AI26</f>
        <v>48793</v>
      </c>
      <c r="AK26" s="30">
        <v>19580</v>
      </c>
      <c r="AL26" s="31">
        <f t="shared" ref="AL26" si="390">AF26-AK26</f>
        <v>178433</v>
      </c>
      <c r="AM26" s="64">
        <v>197871</v>
      </c>
      <c r="AN26" s="28">
        <v>166080</v>
      </c>
      <c r="AO26" s="29">
        <f t="shared" si="15"/>
        <v>31791</v>
      </c>
      <c r="AP26" s="28">
        <v>154559</v>
      </c>
      <c r="AQ26" s="29">
        <f t="shared" si="16"/>
        <v>43312</v>
      </c>
      <c r="AR26" s="65">
        <v>35586</v>
      </c>
      <c r="AS26" s="31">
        <f t="shared" si="17"/>
        <v>162285</v>
      </c>
      <c r="AT26" s="23">
        <v>156178</v>
      </c>
      <c r="AU26" s="19">
        <v>135680</v>
      </c>
      <c r="AV26" s="20">
        <f t="shared" si="18"/>
        <v>20498</v>
      </c>
      <c r="AW26" s="19">
        <v>103919</v>
      </c>
      <c r="AX26" s="20">
        <f t="shared" si="19"/>
        <v>52259</v>
      </c>
      <c r="AY26" s="21">
        <v>22720</v>
      </c>
      <c r="AZ26" s="22">
        <f t="shared" si="20"/>
        <v>133458</v>
      </c>
      <c r="BA26" s="23">
        <v>158208</v>
      </c>
      <c r="BB26" s="19">
        <v>131160</v>
      </c>
      <c r="BC26" s="20">
        <f t="shared" si="21"/>
        <v>27048</v>
      </c>
      <c r="BD26" s="19">
        <v>113020</v>
      </c>
      <c r="BE26" s="20">
        <f t="shared" si="22"/>
        <v>45188</v>
      </c>
      <c r="BF26" s="21">
        <v>12180</v>
      </c>
      <c r="BG26" s="22">
        <f t="shared" si="23"/>
        <v>146028</v>
      </c>
      <c r="BH26" s="23">
        <v>130856</v>
      </c>
      <c r="BI26" s="24">
        <v>109857</v>
      </c>
      <c r="BJ26" s="20">
        <f t="shared" si="24"/>
        <v>20999</v>
      </c>
      <c r="BK26" s="19">
        <v>93657</v>
      </c>
      <c r="BL26" s="20">
        <f t="shared" si="25"/>
        <v>37199</v>
      </c>
      <c r="BM26" s="21">
        <v>9656</v>
      </c>
      <c r="BN26" s="22">
        <f t="shared" si="26"/>
        <v>121200</v>
      </c>
      <c r="BO26" s="23">
        <v>146750</v>
      </c>
      <c r="BP26" s="24">
        <v>124420</v>
      </c>
      <c r="BQ26" s="20">
        <f t="shared" si="27"/>
        <v>22330</v>
      </c>
      <c r="BR26" s="24">
        <v>111260</v>
      </c>
      <c r="BS26" s="20">
        <f t="shared" si="28"/>
        <v>35490</v>
      </c>
      <c r="BT26" s="21">
        <v>9200</v>
      </c>
      <c r="BU26" s="34">
        <f t="shared" si="29"/>
        <v>137550</v>
      </c>
      <c r="BV26" s="35">
        <v>122540</v>
      </c>
      <c r="BW26" s="36">
        <v>104580</v>
      </c>
      <c r="BX26" s="37">
        <f t="shared" si="30"/>
        <v>17960</v>
      </c>
      <c r="BY26" s="36">
        <v>88420</v>
      </c>
      <c r="BZ26" s="37">
        <f t="shared" si="31"/>
        <v>34120</v>
      </c>
      <c r="CA26" s="38">
        <v>15020</v>
      </c>
      <c r="CB26" s="39">
        <f t="shared" si="32"/>
        <v>107520</v>
      </c>
      <c r="CC26" s="37">
        <v>146814</v>
      </c>
      <c r="CD26" s="37">
        <v>122101</v>
      </c>
      <c r="CE26" s="37">
        <f t="shared" si="33"/>
        <v>24713</v>
      </c>
      <c r="CF26" s="37">
        <v>96133</v>
      </c>
      <c r="CG26" s="37">
        <f t="shared" si="34"/>
        <v>50681</v>
      </c>
      <c r="CH26" s="40">
        <v>28520</v>
      </c>
      <c r="CI26" s="39">
        <f t="shared" si="35"/>
        <v>118294</v>
      </c>
      <c r="CJ26" s="37">
        <v>151160</v>
      </c>
      <c r="CK26" s="37">
        <v>128603</v>
      </c>
      <c r="CL26" s="37">
        <f t="shared" si="359"/>
        <v>22557</v>
      </c>
      <c r="CM26" s="37">
        <v>106178</v>
      </c>
      <c r="CN26" s="37">
        <f t="shared" si="360"/>
        <v>44982</v>
      </c>
      <c r="CO26" s="40">
        <v>15858</v>
      </c>
      <c r="CP26" s="41">
        <f t="shared" si="38"/>
        <v>135302</v>
      </c>
      <c r="CQ26" s="37">
        <v>112308</v>
      </c>
      <c r="CR26" s="40">
        <v>15183</v>
      </c>
      <c r="CS26" s="41">
        <f t="shared" si="54"/>
        <v>97125</v>
      </c>
      <c r="CT26" s="37">
        <v>133411</v>
      </c>
      <c r="CU26" s="40">
        <v>14321</v>
      </c>
      <c r="CV26" s="41">
        <f t="shared" si="55"/>
        <v>119090</v>
      </c>
      <c r="CW26" s="37">
        <v>137246</v>
      </c>
      <c r="CX26" s="40">
        <v>5020</v>
      </c>
      <c r="CY26" s="41">
        <f t="shared" si="266"/>
        <v>132226</v>
      </c>
      <c r="CZ26" s="37">
        <v>106354</v>
      </c>
      <c r="DA26" s="40">
        <v>10371</v>
      </c>
      <c r="DB26" s="41">
        <f t="shared" si="267"/>
        <v>95983</v>
      </c>
      <c r="DC26" s="37">
        <v>100830</v>
      </c>
      <c r="DD26" s="40">
        <v>11780</v>
      </c>
      <c r="DE26" s="42">
        <f t="shared" si="268"/>
        <v>89050</v>
      </c>
    </row>
    <row r="27" spans="1:109" s="1" customFormat="1" ht="12.5" x14ac:dyDescent="0.25">
      <c r="A27" s="112" t="s">
        <v>49</v>
      </c>
      <c r="B27" s="122">
        <f>128580+72718</f>
        <v>201298</v>
      </c>
      <c r="C27" s="84">
        <f>111560+69498</f>
        <v>181058</v>
      </c>
      <c r="D27" s="29">
        <f t="shared" ref="D27" si="391">B27-C27</f>
        <v>20240</v>
      </c>
      <c r="E27" s="84">
        <f>92120+7940+64840+2760</f>
        <v>167660</v>
      </c>
      <c r="F27" s="29">
        <f t="shared" ref="F27" si="392">B27-E27</f>
        <v>33638</v>
      </c>
      <c r="G27" s="65">
        <v>72718</v>
      </c>
      <c r="H27" s="116">
        <f t="shared" ref="H27" si="393">B27-G27</f>
        <v>128580</v>
      </c>
      <c r="I27" s="121"/>
      <c r="J27" s="80">
        <f>179180+106220</f>
        <v>285400</v>
      </c>
      <c r="K27" s="89">
        <f>133540+93880</f>
        <v>227420</v>
      </c>
      <c r="L27" s="90">
        <f t="shared" ref="L27" si="394">J27-K27</f>
        <v>57980</v>
      </c>
      <c r="M27" s="89">
        <f>133540+11560+93880+5820</f>
        <v>244800</v>
      </c>
      <c r="N27" s="90">
        <f t="shared" ref="N27" si="395">J27-M27</f>
        <v>40600</v>
      </c>
      <c r="O27" s="105">
        <v>106220</v>
      </c>
      <c r="P27" s="96">
        <f t="shared" ref="P27" si="396">J27-O27</f>
        <v>179180</v>
      </c>
      <c r="Q27" s="108"/>
      <c r="R27" s="80">
        <f>184211+79940</f>
        <v>264151</v>
      </c>
      <c r="S27" s="84">
        <f>152080+75041</f>
        <v>227121</v>
      </c>
      <c r="T27" s="29">
        <f t="shared" ref="T27" si="397">R27-S27</f>
        <v>37030</v>
      </c>
      <c r="U27" s="84">
        <f>118160+13211+70800+2779</f>
        <v>204950</v>
      </c>
      <c r="V27" s="29">
        <f t="shared" ref="V27" si="398">R27-U27</f>
        <v>59201</v>
      </c>
      <c r="W27" s="65">
        <v>79940</v>
      </c>
      <c r="X27" s="31">
        <f t="shared" ref="X27" si="399">R27-W27</f>
        <v>184211</v>
      </c>
      <c r="Y27" s="83">
        <f>143455+56899</f>
        <v>200354</v>
      </c>
      <c r="Z27" s="28">
        <f>117096+46200</f>
        <v>163296</v>
      </c>
      <c r="AA27" s="29">
        <f t="shared" ref="AA27" si="400">Y27-Z27</f>
        <v>37058</v>
      </c>
      <c r="AB27" s="28">
        <f>90540+10280+44040+10259</f>
        <v>155119</v>
      </c>
      <c r="AC27" s="29">
        <f t="shared" ref="AC27" si="401">Y27-AB27</f>
        <v>45235</v>
      </c>
      <c r="AD27" s="30">
        <v>56899</v>
      </c>
      <c r="AE27" s="31">
        <f t="shared" ref="AE27" si="402">Y27-AD27</f>
        <v>143455</v>
      </c>
      <c r="AF27" s="80">
        <v>205726</v>
      </c>
      <c r="AG27" s="71">
        <v>177918</v>
      </c>
      <c r="AH27" s="29">
        <f t="shared" ref="AH27" si="403">AF27-AG27</f>
        <v>27808</v>
      </c>
      <c r="AI27" s="28">
        <v>157020</v>
      </c>
      <c r="AJ27" s="29">
        <f t="shared" ref="AJ27" si="404">AF27-AI27</f>
        <v>48706</v>
      </c>
      <c r="AK27" s="30">
        <v>22277</v>
      </c>
      <c r="AL27" s="31">
        <f t="shared" ref="AL27" si="405">AF27-AK27</f>
        <v>183449</v>
      </c>
      <c r="AM27" s="64">
        <v>189980</v>
      </c>
      <c r="AN27" s="28">
        <v>164200</v>
      </c>
      <c r="AO27" s="29">
        <f t="shared" si="15"/>
        <v>25780</v>
      </c>
      <c r="AP27" s="28">
        <v>151400</v>
      </c>
      <c r="AQ27" s="29">
        <f t="shared" si="16"/>
        <v>38580</v>
      </c>
      <c r="AR27" s="65">
        <v>31680</v>
      </c>
      <c r="AS27" s="31">
        <f t="shared" si="17"/>
        <v>158300</v>
      </c>
      <c r="AT27" s="23">
        <v>170930</v>
      </c>
      <c r="AU27" s="19">
        <v>140940</v>
      </c>
      <c r="AV27" s="20">
        <f t="shared" si="18"/>
        <v>29990</v>
      </c>
      <c r="AW27" s="19">
        <v>114240</v>
      </c>
      <c r="AX27" s="20">
        <f t="shared" si="19"/>
        <v>56690</v>
      </c>
      <c r="AY27" s="21">
        <v>23520</v>
      </c>
      <c r="AZ27" s="22">
        <f t="shared" si="20"/>
        <v>147410</v>
      </c>
      <c r="BA27" s="23">
        <v>172659</v>
      </c>
      <c r="BB27" s="19">
        <v>142640</v>
      </c>
      <c r="BC27" s="20">
        <f t="shared" si="21"/>
        <v>30019</v>
      </c>
      <c r="BD27" s="19">
        <v>125239</v>
      </c>
      <c r="BE27" s="20">
        <f t="shared" si="22"/>
        <v>47420</v>
      </c>
      <c r="BF27" s="21">
        <v>10300</v>
      </c>
      <c r="BG27" s="22">
        <f t="shared" si="23"/>
        <v>162359</v>
      </c>
      <c r="BH27" s="23">
        <v>134420</v>
      </c>
      <c r="BI27" s="24">
        <v>113740</v>
      </c>
      <c r="BJ27" s="20">
        <f t="shared" si="24"/>
        <v>20680</v>
      </c>
      <c r="BK27" s="19">
        <v>94480</v>
      </c>
      <c r="BL27" s="20">
        <f t="shared" si="25"/>
        <v>39940</v>
      </c>
      <c r="BM27" s="21">
        <v>9540</v>
      </c>
      <c r="BN27" s="22">
        <f t="shared" si="26"/>
        <v>124880</v>
      </c>
      <c r="BO27" s="23">
        <v>140955</v>
      </c>
      <c r="BP27" s="24">
        <v>120755</v>
      </c>
      <c r="BQ27" s="20">
        <f t="shared" si="27"/>
        <v>20200</v>
      </c>
      <c r="BR27" s="24">
        <v>116940</v>
      </c>
      <c r="BS27" s="20">
        <f t="shared" si="28"/>
        <v>24015</v>
      </c>
      <c r="BT27" s="21">
        <v>12515</v>
      </c>
      <c r="BU27" s="34">
        <f t="shared" si="29"/>
        <v>128440</v>
      </c>
      <c r="BV27" s="35">
        <v>115820</v>
      </c>
      <c r="BW27" s="36">
        <v>97580</v>
      </c>
      <c r="BX27" s="37">
        <f t="shared" si="30"/>
        <v>18240</v>
      </c>
      <c r="BY27" s="36">
        <v>84160</v>
      </c>
      <c r="BZ27" s="37">
        <f t="shared" si="31"/>
        <v>31660</v>
      </c>
      <c r="CA27" s="38">
        <v>12480</v>
      </c>
      <c r="CB27" s="39">
        <f t="shared" si="32"/>
        <v>103340</v>
      </c>
      <c r="CC27" s="37">
        <v>126557</v>
      </c>
      <c r="CD27" s="37">
        <v>103560</v>
      </c>
      <c r="CE27" s="37">
        <f t="shared" si="33"/>
        <v>22997</v>
      </c>
      <c r="CF27" s="37">
        <v>81940</v>
      </c>
      <c r="CG27" s="37">
        <f t="shared" si="34"/>
        <v>44617</v>
      </c>
      <c r="CH27" s="40">
        <v>20168</v>
      </c>
      <c r="CI27" s="39">
        <f t="shared" si="35"/>
        <v>106389</v>
      </c>
      <c r="CJ27" s="37">
        <v>137369</v>
      </c>
      <c r="CK27" s="37">
        <v>115995</v>
      </c>
      <c r="CL27" s="37">
        <f t="shared" si="359"/>
        <v>21374</v>
      </c>
      <c r="CM27" s="37">
        <v>93860</v>
      </c>
      <c r="CN27" s="37">
        <f t="shared" si="360"/>
        <v>43509</v>
      </c>
      <c r="CO27" s="40">
        <v>9332</v>
      </c>
      <c r="CP27" s="41">
        <f t="shared" si="38"/>
        <v>128037</v>
      </c>
      <c r="CQ27" s="37">
        <v>112268</v>
      </c>
      <c r="CR27" s="40">
        <v>11538</v>
      </c>
      <c r="CS27" s="41">
        <f t="shared" si="54"/>
        <v>100730</v>
      </c>
      <c r="CT27" s="37">
        <v>123802</v>
      </c>
      <c r="CU27" s="40">
        <v>15880</v>
      </c>
      <c r="CV27" s="41">
        <f t="shared" si="55"/>
        <v>107922</v>
      </c>
      <c r="CW27" s="37">
        <v>126346</v>
      </c>
      <c r="CX27" s="40">
        <v>3461</v>
      </c>
      <c r="CY27" s="41">
        <f t="shared" si="266"/>
        <v>122885</v>
      </c>
      <c r="CZ27" s="37">
        <v>103539</v>
      </c>
      <c r="DA27" s="40">
        <v>11159</v>
      </c>
      <c r="DB27" s="41">
        <f t="shared" si="267"/>
        <v>92380</v>
      </c>
      <c r="DC27" s="37">
        <v>93241</v>
      </c>
      <c r="DD27" s="40">
        <v>7736</v>
      </c>
      <c r="DE27" s="42">
        <f t="shared" si="268"/>
        <v>85505</v>
      </c>
    </row>
    <row r="28" spans="1:109" s="1" customFormat="1" ht="12.5" x14ac:dyDescent="0.25">
      <c r="A28" s="112" t="s">
        <v>50</v>
      </c>
      <c r="B28" s="122">
        <f>134760+60360</f>
        <v>195120</v>
      </c>
      <c r="C28" s="84">
        <f>114720+58260</f>
        <v>172980</v>
      </c>
      <c r="D28" s="29">
        <f t="shared" ref="D28" si="406">B28-C28</f>
        <v>22140</v>
      </c>
      <c r="E28" s="84">
        <f>93120+8380+54240+1840</f>
        <v>157580</v>
      </c>
      <c r="F28" s="29">
        <f t="shared" ref="F28" si="407">B28-E28</f>
        <v>37540</v>
      </c>
      <c r="G28" s="65">
        <v>60360</v>
      </c>
      <c r="H28" s="116">
        <f t="shared" ref="H28" si="408">B28-G28</f>
        <v>134760</v>
      </c>
      <c r="I28" s="121"/>
      <c r="J28" s="80">
        <f>167957+107957</f>
        <v>275914</v>
      </c>
      <c r="K28" s="89">
        <f>147309+101098</f>
        <v>248407</v>
      </c>
      <c r="L28" s="90">
        <f t="shared" ref="L28" si="409">J28-K28</f>
        <v>27507</v>
      </c>
      <c r="M28" s="89">
        <f>125349+9680+96098+5939</f>
        <v>237066</v>
      </c>
      <c r="N28" s="90">
        <f t="shared" ref="N28" si="410">J28-M28</f>
        <v>38848</v>
      </c>
      <c r="O28" s="105">
        <v>107957</v>
      </c>
      <c r="P28" s="96">
        <f t="shared" ref="P28" si="411">J28-O28</f>
        <v>167957</v>
      </c>
      <c r="Q28" s="108"/>
      <c r="R28" s="80">
        <f>163298+93920</f>
        <v>257218</v>
      </c>
      <c r="S28" s="84">
        <f>132750+90040</f>
        <v>222790</v>
      </c>
      <c r="T28" s="29">
        <f t="shared" ref="T28" si="412">R28-S28</f>
        <v>34428</v>
      </c>
      <c r="U28" s="84">
        <f>102080+13018+85600+2420</f>
        <v>203118</v>
      </c>
      <c r="V28" s="29">
        <f t="shared" ref="V28" si="413">R28-U28</f>
        <v>54100</v>
      </c>
      <c r="W28" s="65">
        <v>93920</v>
      </c>
      <c r="X28" s="31">
        <f t="shared" ref="X28" si="414">R28-W28</f>
        <v>163298</v>
      </c>
      <c r="Y28" s="83">
        <f>144420+41480</f>
        <v>185900</v>
      </c>
      <c r="Z28" s="28">
        <f>120621+35760</f>
        <v>156381</v>
      </c>
      <c r="AA28" s="29">
        <f t="shared" ref="AA28" si="415">Y28-Z28</f>
        <v>29519</v>
      </c>
      <c r="AB28" s="28">
        <f>93260+10800+33800+4840</f>
        <v>142700</v>
      </c>
      <c r="AC28" s="29">
        <f t="shared" ref="AC28" si="416">Y28-AB28</f>
        <v>43200</v>
      </c>
      <c r="AD28" s="30">
        <v>41480</v>
      </c>
      <c r="AE28" s="31">
        <f t="shared" ref="AE28" si="417">Y28-AD28</f>
        <v>144420</v>
      </c>
      <c r="AF28" s="80">
        <v>193054</v>
      </c>
      <c r="AG28" s="71">
        <v>165500</v>
      </c>
      <c r="AH28" s="29">
        <f t="shared" ref="AH28" si="418">AF28-AG28</f>
        <v>27554</v>
      </c>
      <c r="AI28" s="28">
        <v>148994</v>
      </c>
      <c r="AJ28" s="29">
        <f t="shared" ref="AJ28" si="419">AF28-AI28</f>
        <v>44060</v>
      </c>
      <c r="AK28" s="30">
        <v>18160</v>
      </c>
      <c r="AL28" s="31">
        <f t="shared" ref="AL28" si="420">AF28-AK28</f>
        <v>174894</v>
      </c>
      <c r="AM28" s="64">
        <v>192080</v>
      </c>
      <c r="AN28" s="28">
        <v>165241</v>
      </c>
      <c r="AO28" s="29">
        <f t="shared" si="15"/>
        <v>26839</v>
      </c>
      <c r="AP28" s="28">
        <v>154960</v>
      </c>
      <c r="AQ28" s="29">
        <f t="shared" si="16"/>
        <v>37120</v>
      </c>
      <c r="AR28" s="65">
        <v>39760</v>
      </c>
      <c r="AS28" s="31">
        <f t="shared" si="17"/>
        <v>152320</v>
      </c>
      <c r="AT28" s="23">
        <v>164739</v>
      </c>
      <c r="AU28" s="19">
        <v>144060</v>
      </c>
      <c r="AV28" s="20">
        <f t="shared" si="18"/>
        <v>20679</v>
      </c>
      <c r="AW28" s="19">
        <v>114480</v>
      </c>
      <c r="AX28" s="20">
        <f t="shared" si="19"/>
        <v>50259</v>
      </c>
      <c r="AY28" s="21">
        <v>31900</v>
      </c>
      <c r="AZ28" s="22">
        <f t="shared" si="20"/>
        <v>132839</v>
      </c>
      <c r="BA28" s="23">
        <v>157438</v>
      </c>
      <c r="BB28" s="19">
        <v>132500</v>
      </c>
      <c r="BC28" s="20">
        <f t="shared" si="21"/>
        <v>24938</v>
      </c>
      <c r="BD28" s="19">
        <v>113438</v>
      </c>
      <c r="BE28" s="20">
        <f t="shared" si="22"/>
        <v>44000</v>
      </c>
      <c r="BF28" s="21">
        <v>13440</v>
      </c>
      <c r="BG28" s="22">
        <f t="shared" si="23"/>
        <v>143998</v>
      </c>
      <c r="BH28" s="23">
        <v>137592</v>
      </c>
      <c r="BI28" s="24">
        <v>115820</v>
      </c>
      <c r="BJ28" s="20">
        <f t="shared" si="24"/>
        <v>21772</v>
      </c>
      <c r="BK28" s="19">
        <v>99278</v>
      </c>
      <c r="BL28" s="20">
        <f t="shared" si="25"/>
        <v>38314</v>
      </c>
      <c r="BM28" s="21">
        <v>15819</v>
      </c>
      <c r="BN28" s="22">
        <f t="shared" si="26"/>
        <v>121773</v>
      </c>
      <c r="BO28" s="23">
        <v>128199</v>
      </c>
      <c r="BP28" s="24">
        <v>111240</v>
      </c>
      <c r="BQ28" s="20">
        <f t="shared" si="27"/>
        <v>16959</v>
      </c>
      <c r="BR28" s="24">
        <v>100713</v>
      </c>
      <c r="BS28" s="20">
        <f t="shared" si="28"/>
        <v>27486</v>
      </c>
      <c r="BT28" s="21">
        <v>12515</v>
      </c>
      <c r="BU28" s="34">
        <f t="shared" si="29"/>
        <v>115684</v>
      </c>
      <c r="BV28" s="35">
        <v>102679</v>
      </c>
      <c r="BW28" s="36">
        <v>84680</v>
      </c>
      <c r="BX28" s="37">
        <f t="shared" si="30"/>
        <v>17999</v>
      </c>
      <c r="BY28" s="36">
        <v>70880</v>
      </c>
      <c r="BZ28" s="37">
        <f t="shared" si="31"/>
        <v>31799</v>
      </c>
      <c r="CA28" s="38">
        <v>5340</v>
      </c>
      <c r="CB28" s="39">
        <f t="shared" si="32"/>
        <v>97339</v>
      </c>
      <c r="CC28" s="37">
        <v>126967</v>
      </c>
      <c r="CD28" s="37">
        <v>100998</v>
      </c>
      <c r="CE28" s="37">
        <f t="shared" si="33"/>
        <v>25969</v>
      </c>
      <c r="CF28" s="37">
        <v>84120</v>
      </c>
      <c r="CG28" s="37">
        <f t="shared" si="34"/>
        <v>42847</v>
      </c>
      <c r="CH28" s="40">
        <v>10740</v>
      </c>
      <c r="CI28" s="39">
        <f t="shared" si="35"/>
        <v>116227</v>
      </c>
      <c r="CJ28" s="37">
        <v>135028</v>
      </c>
      <c r="CK28" s="37">
        <v>113358</v>
      </c>
      <c r="CL28" s="37">
        <f t="shared" si="359"/>
        <v>21670</v>
      </c>
      <c r="CM28" s="37">
        <v>93595</v>
      </c>
      <c r="CN28" s="37">
        <f t="shared" si="360"/>
        <v>41433</v>
      </c>
      <c r="CO28" s="40">
        <v>11711</v>
      </c>
      <c r="CP28" s="41">
        <f t="shared" si="38"/>
        <v>123317</v>
      </c>
      <c r="CQ28" s="37">
        <v>108749</v>
      </c>
      <c r="CR28" s="40">
        <v>5020</v>
      </c>
      <c r="CS28" s="41">
        <f t="shared" si="54"/>
        <v>103729</v>
      </c>
      <c r="CT28" s="37">
        <v>125995</v>
      </c>
      <c r="CU28" s="40">
        <v>19918</v>
      </c>
      <c r="CV28" s="41">
        <f t="shared" si="55"/>
        <v>106077</v>
      </c>
      <c r="CW28" s="37">
        <v>121817</v>
      </c>
      <c r="CX28" s="40">
        <v>12580</v>
      </c>
      <c r="CY28" s="41">
        <f t="shared" si="266"/>
        <v>109237</v>
      </c>
      <c r="CZ28" s="37">
        <v>98052</v>
      </c>
      <c r="DA28" s="40">
        <v>10339</v>
      </c>
      <c r="DB28" s="41">
        <f t="shared" si="267"/>
        <v>87713</v>
      </c>
      <c r="DC28" s="37">
        <v>99051</v>
      </c>
      <c r="DD28" s="40">
        <v>13515</v>
      </c>
      <c r="DE28" s="42">
        <f t="shared" si="268"/>
        <v>85536</v>
      </c>
    </row>
    <row r="29" spans="1:109" s="1" customFormat="1" ht="12.5" x14ac:dyDescent="0.25">
      <c r="A29" s="112" t="s">
        <v>51</v>
      </c>
      <c r="B29" s="122">
        <f>130460+89480</f>
        <v>219940</v>
      </c>
      <c r="C29" s="84">
        <f>111480+87520</f>
        <v>199000</v>
      </c>
      <c r="D29" s="29">
        <f t="shared" ref="D29" si="421">B29-C29</f>
        <v>20940</v>
      </c>
      <c r="E29" s="84">
        <f>93040+8480+82080+1660</f>
        <v>185260</v>
      </c>
      <c r="F29" s="29">
        <f t="shared" ref="F29" si="422">B29-E29</f>
        <v>34680</v>
      </c>
      <c r="G29" s="65">
        <v>89480</v>
      </c>
      <c r="H29" s="116">
        <f t="shared" ref="H29" si="423">B29-G29</f>
        <v>130460</v>
      </c>
      <c r="I29" s="121"/>
      <c r="J29" s="80">
        <f>168300+132220</f>
        <v>300520</v>
      </c>
      <c r="K29" s="89">
        <f>149380+124080</f>
        <v>273460</v>
      </c>
      <c r="L29" s="90">
        <f t="shared" ref="L29" si="424">J29-K29</f>
        <v>27060</v>
      </c>
      <c r="M29" s="89">
        <f>128420+9840+118760+7200</f>
        <v>264220</v>
      </c>
      <c r="N29" s="90">
        <f t="shared" ref="N29" si="425">J29-M29</f>
        <v>36300</v>
      </c>
      <c r="O29" s="105">
        <v>132220</v>
      </c>
      <c r="P29" s="96">
        <f t="shared" ref="P29" si="426">J29-O29</f>
        <v>168300</v>
      </c>
      <c r="Q29" s="108"/>
      <c r="R29" s="80">
        <f>161571+101020</f>
        <v>262591</v>
      </c>
      <c r="S29" s="84">
        <f>129759+97100</f>
        <v>226859</v>
      </c>
      <c r="T29" s="29">
        <f t="shared" ref="T29" si="427">R29-S29</f>
        <v>35732</v>
      </c>
      <c r="U29" s="84">
        <f>100020+14532+89620+2740</f>
        <v>206912</v>
      </c>
      <c r="V29" s="29">
        <f t="shared" ref="V29" si="428">R29-U29</f>
        <v>55679</v>
      </c>
      <c r="W29" s="65">
        <v>101020</v>
      </c>
      <c r="X29" s="31">
        <f t="shared" ref="X29" si="429">R29-W29</f>
        <v>161571</v>
      </c>
      <c r="Y29" s="83">
        <f>136569+54396</f>
        <v>190965</v>
      </c>
      <c r="Z29" s="28">
        <f>113900+43760</f>
        <v>157660</v>
      </c>
      <c r="AA29" s="29">
        <f t="shared" ref="AA29" si="430">Y29-Z29</f>
        <v>33305</v>
      </c>
      <c r="AB29" s="28">
        <f>88340+10120+41840+10256</f>
        <v>150556</v>
      </c>
      <c r="AC29" s="29">
        <f t="shared" ref="AC29" si="431">Y29-AB29</f>
        <v>40409</v>
      </c>
      <c r="AD29" s="30">
        <v>41480</v>
      </c>
      <c r="AE29" s="31">
        <f t="shared" ref="AE29" si="432">Y29-AD29</f>
        <v>149485</v>
      </c>
      <c r="AF29" s="80">
        <v>201657</v>
      </c>
      <c r="AG29" s="71">
        <v>175220</v>
      </c>
      <c r="AH29" s="29">
        <f t="shared" ref="AH29" si="433">AF29-AG29</f>
        <v>26437</v>
      </c>
      <c r="AI29" s="28">
        <v>154060</v>
      </c>
      <c r="AJ29" s="29">
        <f t="shared" ref="AJ29" si="434">AF29-AI29</f>
        <v>47597</v>
      </c>
      <c r="AK29" s="30">
        <v>28857</v>
      </c>
      <c r="AL29" s="31">
        <f t="shared" ref="AL29" si="435">AF29-AK29</f>
        <v>172800</v>
      </c>
      <c r="AM29" s="64">
        <v>179676</v>
      </c>
      <c r="AN29" s="28">
        <v>152680</v>
      </c>
      <c r="AO29" s="29">
        <f t="shared" si="15"/>
        <v>26996</v>
      </c>
      <c r="AP29" s="28">
        <v>138672</v>
      </c>
      <c r="AQ29" s="29">
        <f t="shared" si="16"/>
        <v>41004</v>
      </c>
      <c r="AR29" s="65">
        <v>18585</v>
      </c>
      <c r="AS29" s="31">
        <f t="shared" si="17"/>
        <v>161091</v>
      </c>
      <c r="AT29" s="23">
        <v>170979</v>
      </c>
      <c r="AU29" s="19">
        <v>148841</v>
      </c>
      <c r="AV29" s="20">
        <f t="shared" si="18"/>
        <v>22138</v>
      </c>
      <c r="AW29" s="19">
        <v>120920</v>
      </c>
      <c r="AX29" s="20">
        <f t="shared" si="19"/>
        <v>50059</v>
      </c>
      <c r="AY29" s="21">
        <v>36899</v>
      </c>
      <c r="AZ29" s="22">
        <f t="shared" si="20"/>
        <v>134080</v>
      </c>
      <c r="BA29" s="23">
        <v>161018</v>
      </c>
      <c r="BB29" s="19">
        <v>134680</v>
      </c>
      <c r="BC29" s="20">
        <f t="shared" si="21"/>
        <v>26338</v>
      </c>
      <c r="BD29" s="19">
        <v>110780</v>
      </c>
      <c r="BE29" s="20">
        <f t="shared" si="22"/>
        <v>50238</v>
      </c>
      <c r="BF29" s="21">
        <v>16979</v>
      </c>
      <c r="BG29" s="22">
        <f t="shared" si="23"/>
        <v>144039</v>
      </c>
      <c r="BH29" s="23">
        <v>139587</v>
      </c>
      <c r="BI29" s="24">
        <v>119987</v>
      </c>
      <c r="BJ29" s="20">
        <f t="shared" si="24"/>
        <v>19600</v>
      </c>
      <c r="BK29" s="19">
        <v>103907</v>
      </c>
      <c r="BL29" s="20">
        <f t="shared" si="25"/>
        <v>35680</v>
      </c>
      <c r="BM29" s="21">
        <v>12660</v>
      </c>
      <c r="BN29" s="22">
        <f t="shared" si="26"/>
        <v>126927</v>
      </c>
      <c r="BO29" s="23">
        <v>129427</v>
      </c>
      <c r="BP29" s="24">
        <v>109758</v>
      </c>
      <c r="BQ29" s="20">
        <f t="shared" si="27"/>
        <v>19669</v>
      </c>
      <c r="BR29" s="24">
        <v>99510</v>
      </c>
      <c r="BS29" s="20">
        <f t="shared" si="28"/>
        <v>29917</v>
      </c>
      <c r="BT29" s="21">
        <v>7740</v>
      </c>
      <c r="BU29" s="34">
        <f t="shared" si="29"/>
        <v>121687</v>
      </c>
      <c r="BV29" s="35">
        <v>104121</v>
      </c>
      <c r="BW29" s="36">
        <v>87121</v>
      </c>
      <c r="BX29" s="37">
        <f t="shared" si="30"/>
        <v>17000</v>
      </c>
      <c r="BY29" s="36">
        <v>74540</v>
      </c>
      <c r="BZ29" s="37">
        <f t="shared" si="31"/>
        <v>29581</v>
      </c>
      <c r="CA29" s="38">
        <v>7820</v>
      </c>
      <c r="CB29" s="39">
        <f t="shared" si="32"/>
        <v>96301</v>
      </c>
      <c r="CC29" s="37">
        <v>122361</v>
      </c>
      <c r="CD29" s="37">
        <v>100524</v>
      </c>
      <c r="CE29" s="37">
        <f t="shared" si="33"/>
        <v>21837</v>
      </c>
      <c r="CF29" s="37">
        <v>86182</v>
      </c>
      <c r="CG29" s="37">
        <f t="shared" si="34"/>
        <v>36179</v>
      </c>
      <c r="CH29" s="40">
        <v>14480</v>
      </c>
      <c r="CI29" s="39">
        <f t="shared" si="35"/>
        <v>107881</v>
      </c>
      <c r="CJ29" s="37">
        <v>131707</v>
      </c>
      <c r="CK29" s="37">
        <v>108738</v>
      </c>
      <c r="CL29" s="37">
        <f t="shared" si="359"/>
        <v>22969</v>
      </c>
      <c r="CM29" s="37">
        <v>87247</v>
      </c>
      <c r="CN29" s="37">
        <f t="shared" si="360"/>
        <v>44460</v>
      </c>
      <c r="CO29" s="40">
        <v>21056</v>
      </c>
      <c r="CP29" s="41">
        <f t="shared" si="38"/>
        <v>110651</v>
      </c>
      <c r="CQ29" s="37">
        <v>105949</v>
      </c>
      <c r="CR29" s="40">
        <v>6595</v>
      </c>
      <c r="CS29" s="41">
        <f t="shared" si="54"/>
        <v>99354</v>
      </c>
      <c r="CT29" s="37">
        <v>128598</v>
      </c>
      <c r="CU29" s="40">
        <v>19797</v>
      </c>
      <c r="CV29" s="41">
        <f t="shared" si="55"/>
        <v>108801</v>
      </c>
      <c r="CW29" s="37">
        <v>136057</v>
      </c>
      <c r="CX29" s="40">
        <v>25888</v>
      </c>
      <c r="CY29" s="41">
        <f t="shared" si="266"/>
        <v>110169</v>
      </c>
      <c r="CZ29" s="37">
        <v>87860</v>
      </c>
      <c r="DA29" s="40">
        <v>2714</v>
      </c>
      <c r="DB29" s="41">
        <f t="shared" si="267"/>
        <v>85146</v>
      </c>
      <c r="DC29" s="37">
        <v>92158</v>
      </c>
      <c r="DD29" s="40">
        <v>32098</v>
      </c>
      <c r="DE29" s="42">
        <f t="shared" si="268"/>
        <v>60060</v>
      </c>
    </row>
    <row r="30" spans="1:109" s="1" customFormat="1" ht="12.5" x14ac:dyDescent="0.25">
      <c r="A30" s="112" t="s">
        <v>52</v>
      </c>
      <c r="B30" s="122">
        <f>125380+81600</f>
        <v>206980</v>
      </c>
      <c r="C30" s="84">
        <f>108600+77880</f>
        <v>186480</v>
      </c>
      <c r="D30" s="29">
        <f t="shared" ref="D30" si="436">B30-C30</f>
        <v>20500</v>
      </c>
      <c r="E30" s="84">
        <f>91560+8180+72520+3360</f>
        <v>175620</v>
      </c>
      <c r="F30" s="29">
        <f t="shared" ref="F30" si="437">B30-E30</f>
        <v>31360</v>
      </c>
      <c r="G30" s="65">
        <v>81600</v>
      </c>
      <c r="H30" s="116">
        <f t="shared" ref="H30" si="438">B30-G30</f>
        <v>125380</v>
      </c>
      <c r="I30" s="121"/>
      <c r="J30" s="80">
        <f>162384+134019</f>
        <v>296403</v>
      </c>
      <c r="K30" s="89">
        <f>141464+125760</f>
        <v>267224</v>
      </c>
      <c r="L30" s="90">
        <f t="shared" ref="L30" si="439">J30-K30</f>
        <v>29179</v>
      </c>
      <c r="M30" s="89">
        <f>121820+10200+119520+7360</f>
        <v>258900</v>
      </c>
      <c r="N30" s="90">
        <f t="shared" ref="N30" si="440">J30-M30</f>
        <v>37503</v>
      </c>
      <c r="O30" s="105">
        <v>134019</v>
      </c>
      <c r="P30" s="96">
        <f t="shared" ref="P30" si="441">J30-O30</f>
        <v>162384</v>
      </c>
      <c r="Q30" s="108"/>
      <c r="R30" s="80">
        <f>157701+111294</f>
        <v>268995</v>
      </c>
      <c r="S30" s="84">
        <f>130200+105360</f>
        <v>235560</v>
      </c>
      <c r="T30" s="29">
        <f t="shared" ref="T30" si="442">R30-S30</f>
        <v>33435</v>
      </c>
      <c r="U30" s="84">
        <f>99060+11894+97640+3654</f>
        <v>212248</v>
      </c>
      <c r="V30" s="29">
        <f t="shared" ref="V30" si="443">R30-U30</f>
        <v>56747</v>
      </c>
      <c r="W30" s="65">
        <v>111294</v>
      </c>
      <c r="X30" s="31">
        <f t="shared" ref="X30" si="444">R30-W30</f>
        <v>157701</v>
      </c>
      <c r="Y30" s="83">
        <f>146461+44379</f>
        <v>190840</v>
      </c>
      <c r="Z30" s="28">
        <f>122041+33840</f>
        <v>155881</v>
      </c>
      <c r="AA30" s="29">
        <f t="shared" ref="AA30" si="445">Y30-Z30</f>
        <v>34959</v>
      </c>
      <c r="AB30" s="28">
        <f>96160+12220+31800+8879</f>
        <v>149059</v>
      </c>
      <c r="AC30" s="29">
        <f t="shared" ref="AC30" si="446">Y30-AB30</f>
        <v>41781</v>
      </c>
      <c r="AD30" s="30">
        <v>44379</v>
      </c>
      <c r="AE30" s="31">
        <f t="shared" ref="AE30" si="447">Y30-AD30</f>
        <v>146461</v>
      </c>
      <c r="AF30" s="80">
        <v>189120</v>
      </c>
      <c r="AG30" s="71">
        <v>160220</v>
      </c>
      <c r="AH30" s="29">
        <f t="shared" ref="AH30" si="448">AF30-AG30</f>
        <v>28900</v>
      </c>
      <c r="AI30" s="28">
        <v>141300</v>
      </c>
      <c r="AJ30" s="29">
        <f t="shared" ref="AJ30" si="449">AF30-AI30</f>
        <v>47820</v>
      </c>
      <c r="AK30" s="30">
        <v>24480</v>
      </c>
      <c r="AL30" s="31">
        <f t="shared" ref="AL30" si="450">AF30-AK30</f>
        <v>164640</v>
      </c>
      <c r="AM30" s="64">
        <v>193759</v>
      </c>
      <c r="AN30" s="28">
        <v>165520</v>
      </c>
      <c r="AO30" s="29">
        <f t="shared" si="15"/>
        <v>28239</v>
      </c>
      <c r="AP30" s="28">
        <v>151160</v>
      </c>
      <c r="AQ30" s="29">
        <f t="shared" si="16"/>
        <v>42599</v>
      </c>
      <c r="AR30" s="65">
        <v>34360</v>
      </c>
      <c r="AS30" s="31">
        <f t="shared" si="17"/>
        <v>159399</v>
      </c>
      <c r="AT30" s="23">
        <v>156266</v>
      </c>
      <c r="AU30" s="19">
        <v>137560</v>
      </c>
      <c r="AV30" s="20">
        <f t="shared" si="18"/>
        <v>18706</v>
      </c>
      <c r="AW30" s="19">
        <v>110380</v>
      </c>
      <c r="AX30" s="20">
        <f t="shared" si="19"/>
        <v>45886</v>
      </c>
      <c r="AY30" s="21">
        <v>30156</v>
      </c>
      <c r="AZ30" s="22">
        <f t="shared" si="20"/>
        <v>126110</v>
      </c>
      <c r="BA30" s="23">
        <v>153715</v>
      </c>
      <c r="BB30" s="19">
        <v>128257</v>
      </c>
      <c r="BC30" s="20">
        <f t="shared" si="21"/>
        <v>25458</v>
      </c>
      <c r="BD30" s="19">
        <v>106999</v>
      </c>
      <c r="BE30" s="20">
        <f t="shared" si="22"/>
        <v>46716</v>
      </c>
      <c r="BF30" s="21">
        <v>15479</v>
      </c>
      <c r="BG30" s="22">
        <f t="shared" si="23"/>
        <v>138236</v>
      </c>
      <c r="BH30" s="23">
        <v>136100</v>
      </c>
      <c r="BI30" s="24">
        <v>116380</v>
      </c>
      <c r="BJ30" s="20">
        <f t="shared" si="24"/>
        <v>19720</v>
      </c>
      <c r="BK30" s="19">
        <v>103600</v>
      </c>
      <c r="BL30" s="20">
        <f t="shared" si="25"/>
        <v>32500</v>
      </c>
      <c r="BM30" s="21">
        <v>10680</v>
      </c>
      <c r="BN30" s="22">
        <f t="shared" si="26"/>
        <v>125420</v>
      </c>
      <c r="BO30" s="23">
        <v>123784</v>
      </c>
      <c r="BP30" s="24">
        <v>105915</v>
      </c>
      <c r="BQ30" s="20">
        <f t="shared" si="27"/>
        <v>17869</v>
      </c>
      <c r="BR30" s="24">
        <v>92815</v>
      </c>
      <c r="BS30" s="20">
        <f t="shared" si="28"/>
        <v>30969</v>
      </c>
      <c r="BT30" s="21">
        <v>17869</v>
      </c>
      <c r="BU30" s="34">
        <f t="shared" si="29"/>
        <v>105915</v>
      </c>
      <c r="BV30" s="35">
        <v>108008</v>
      </c>
      <c r="BW30" s="36">
        <v>92380</v>
      </c>
      <c r="BX30" s="37">
        <f t="shared" si="30"/>
        <v>15628</v>
      </c>
      <c r="BY30" s="36">
        <v>76100</v>
      </c>
      <c r="BZ30" s="37">
        <f t="shared" si="31"/>
        <v>31908</v>
      </c>
      <c r="CA30" s="38">
        <v>17668</v>
      </c>
      <c r="CB30" s="39">
        <f t="shared" si="32"/>
        <v>90340</v>
      </c>
      <c r="CC30" s="37">
        <v>116274</v>
      </c>
      <c r="CD30" s="37">
        <v>95497</v>
      </c>
      <c r="CE30" s="37">
        <f t="shared" si="33"/>
        <v>20777</v>
      </c>
      <c r="CF30" s="37">
        <v>79618</v>
      </c>
      <c r="CG30" s="37">
        <f t="shared" si="34"/>
        <v>36656</v>
      </c>
      <c r="CH30" s="40">
        <v>6435</v>
      </c>
      <c r="CI30" s="39">
        <f t="shared" si="35"/>
        <v>109839</v>
      </c>
      <c r="CJ30" s="37">
        <v>132154</v>
      </c>
      <c r="CK30" s="37">
        <v>109682</v>
      </c>
      <c r="CL30" s="37">
        <f t="shared" si="359"/>
        <v>22472</v>
      </c>
      <c r="CM30" s="37">
        <v>89940</v>
      </c>
      <c r="CN30" s="37">
        <f t="shared" si="360"/>
        <v>42214</v>
      </c>
      <c r="CO30" s="40">
        <v>15899</v>
      </c>
      <c r="CP30" s="41">
        <f t="shared" si="38"/>
        <v>116255</v>
      </c>
      <c r="CQ30" s="37">
        <v>93992</v>
      </c>
      <c r="CR30" s="40">
        <v>7539</v>
      </c>
      <c r="CS30" s="41">
        <f t="shared" si="54"/>
        <v>86453</v>
      </c>
      <c r="CT30" s="37">
        <v>124578</v>
      </c>
      <c r="CU30" s="40">
        <v>16979</v>
      </c>
      <c r="CV30" s="41">
        <f t="shared" si="55"/>
        <v>107599</v>
      </c>
      <c r="CW30" s="37">
        <v>122679</v>
      </c>
      <c r="CX30" s="40">
        <v>14079</v>
      </c>
      <c r="CY30" s="41">
        <f t="shared" si="266"/>
        <v>108600</v>
      </c>
      <c r="CZ30" s="37">
        <v>81059</v>
      </c>
      <c r="DA30" s="40">
        <v>5020</v>
      </c>
      <c r="DB30" s="41">
        <f t="shared" si="267"/>
        <v>76039</v>
      </c>
      <c r="DC30" s="37">
        <v>83704</v>
      </c>
      <c r="DD30" s="40">
        <v>5220</v>
      </c>
      <c r="DE30" s="42">
        <f t="shared" si="268"/>
        <v>78484</v>
      </c>
    </row>
    <row r="31" spans="1:109" s="1" customFormat="1" ht="12.5" x14ac:dyDescent="0.25">
      <c r="A31" s="112" t="s">
        <v>53</v>
      </c>
      <c r="B31" s="122">
        <f>115000+71100</f>
        <v>186100</v>
      </c>
      <c r="C31" s="84">
        <f>99300+68840</f>
        <v>168140</v>
      </c>
      <c r="D31" s="29">
        <f t="shared" ref="D31" si="451">B31-C31</f>
        <v>17960</v>
      </c>
      <c r="E31" s="84">
        <f>82780+6200+61920+2000</f>
        <v>152900</v>
      </c>
      <c r="F31" s="29">
        <f t="shared" ref="F31" si="452">B31-E31</f>
        <v>33200</v>
      </c>
      <c r="G31" s="65">
        <v>71100</v>
      </c>
      <c r="H31" s="116">
        <f t="shared" ref="H31" si="453">B31-G31</f>
        <v>115000</v>
      </c>
      <c r="I31" s="121"/>
      <c r="J31" s="80">
        <f>151660+133641</f>
        <v>285301</v>
      </c>
      <c r="K31" s="89">
        <f>134680+125442</f>
        <v>260122</v>
      </c>
      <c r="L31" s="90">
        <f t="shared" ref="L31" si="454">J31-K31</f>
        <v>25179</v>
      </c>
      <c r="M31" s="89">
        <f>117800+9220+119760+6999</f>
        <v>253779</v>
      </c>
      <c r="N31" s="90">
        <f t="shared" ref="N31" si="455">J31-M31</f>
        <v>31522</v>
      </c>
      <c r="O31" s="105">
        <v>133641</v>
      </c>
      <c r="P31" s="96">
        <f t="shared" ref="P31" si="456">J31-O31</f>
        <v>151660</v>
      </c>
      <c r="Q31" s="108"/>
      <c r="R31" s="80">
        <f>126955+128803</f>
        <v>255758</v>
      </c>
      <c r="S31" s="84">
        <f>101445+123520</f>
        <v>224965</v>
      </c>
      <c r="T31" s="29">
        <f t="shared" ref="T31" si="457">R31-S31</f>
        <v>30793</v>
      </c>
      <c r="U31" s="84">
        <f>75080+11160+116620+3123</f>
        <v>205983</v>
      </c>
      <c r="V31" s="29">
        <f t="shared" ref="V31" si="458">R31-U31</f>
        <v>49775</v>
      </c>
      <c r="W31" s="65">
        <v>128803</v>
      </c>
      <c r="X31" s="31">
        <f t="shared" ref="X31" si="459">R31-W31</f>
        <v>126955</v>
      </c>
      <c r="Y31" s="83">
        <f>149655+31040</f>
        <v>180695</v>
      </c>
      <c r="Z31" s="28">
        <f>124999+26920</f>
        <v>151919</v>
      </c>
      <c r="AA31" s="29">
        <f t="shared" ref="AA31" si="460">Y31-Z31</f>
        <v>28776</v>
      </c>
      <c r="AB31" s="28">
        <f>99480+12096+24800+3640</f>
        <v>140016</v>
      </c>
      <c r="AC31" s="29">
        <f t="shared" ref="AC31" si="461">Y31-AB31</f>
        <v>40679</v>
      </c>
      <c r="AD31" s="30">
        <v>31040</v>
      </c>
      <c r="AE31" s="31">
        <f t="shared" ref="AE31" si="462">Y31-AD31</f>
        <v>149655</v>
      </c>
      <c r="AF31" s="80">
        <v>163760</v>
      </c>
      <c r="AG31" s="71">
        <v>139200</v>
      </c>
      <c r="AH31" s="29">
        <f t="shared" ref="AH31" si="463">AF31-AG31</f>
        <v>24560</v>
      </c>
      <c r="AI31" s="28">
        <v>122780</v>
      </c>
      <c r="AJ31" s="29">
        <f t="shared" ref="AJ31" si="464">AF31-AI31</f>
        <v>40980</v>
      </c>
      <c r="AK31" s="30">
        <v>12660</v>
      </c>
      <c r="AL31" s="31">
        <f t="shared" ref="AL31" si="465">AF31-AK31</f>
        <v>151100</v>
      </c>
      <c r="AM31" s="64">
        <v>176602</v>
      </c>
      <c r="AN31" s="28">
        <v>155081</v>
      </c>
      <c r="AO31" s="29">
        <f t="shared" si="15"/>
        <v>21521</v>
      </c>
      <c r="AP31" s="28">
        <v>139900</v>
      </c>
      <c r="AQ31" s="29">
        <f t="shared" si="16"/>
        <v>36702</v>
      </c>
      <c r="AR31" s="65">
        <v>32959</v>
      </c>
      <c r="AS31" s="31">
        <f t="shared" si="17"/>
        <v>143643</v>
      </c>
      <c r="AT31" s="23">
        <v>148559</v>
      </c>
      <c r="AU31" s="19">
        <v>134099</v>
      </c>
      <c r="AV31" s="20">
        <f t="shared" si="18"/>
        <v>14460</v>
      </c>
      <c r="AW31" s="19">
        <v>105880</v>
      </c>
      <c r="AX31" s="20">
        <f t="shared" si="19"/>
        <v>42679</v>
      </c>
      <c r="AY31" s="21">
        <v>31099</v>
      </c>
      <c r="AZ31" s="22">
        <f t="shared" si="20"/>
        <v>117460</v>
      </c>
      <c r="BA31" s="23">
        <v>145382</v>
      </c>
      <c r="BB31" s="19">
        <v>120734</v>
      </c>
      <c r="BC31" s="20">
        <f t="shared" si="21"/>
        <v>24648</v>
      </c>
      <c r="BD31" s="19">
        <v>101518</v>
      </c>
      <c r="BE31" s="20">
        <f t="shared" si="22"/>
        <v>43864</v>
      </c>
      <c r="BF31" s="21">
        <v>10076</v>
      </c>
      <c r="BG31" s="22">
        <f t="shared" si="23"/>
        <v>135306</v>
      </c>
      <c r="BH31" s="23">
        <v>127020</v>
      </c>
      <c r="BI31" s="24">
        <v>105580</v>
      </c>
      <c r="BJ31" s="20">
        <f t="shared" si="24"/>
        <v>21440</v>
      </c>
      <c r="BK31" s="19">
        <v>94160</v>
      </c>
      <c r="BL31" s="20">
        <f t="shared" si="25"/>
        <v>32860</v>
      </c>
      <c r="BM31" s="21">
        <v>8760</v>
      </c>
      <c r="BN31" s="22">
        <f t="shared" si="26"/>
        <v>118260</v>
      </c>
      <c r="BO31" s="23">
        <v>116127</v>
      </c>
      <c r="BP31" s="24">
        <v>98607</v>
      </c>
      <c r="BQ31" s="20">
        <f t="shared" si="27"/>
        <v>17520</v>
      </c>
      <c r="BR31" s="24">
        <v>85600</v>
      </c>
      <c r="BS31" s="20">
        <f t="shared" si="28"/>
        <v>30527</v>
      </c>
      <c r="BT31" s="21">
        <v>8947</v>
      </c>
      <c r="BU31" s="34">
        <f t="shared" si="29"/>
        <v>107180</v>
      </c>
      <c r="BV31" s="35">
        <v>108691</v>
      </c>
      <c r="BW31" s="36">
        <v>91812</v>
      </c>
      <c r="BX31" s="37">
        <f t="shared" si="30"/>
        <v>16879</v>
      </c>
      <c r="BY31" s="36">
        <v>75532</v>
      </c>
      <c r="BZ31" s="37">
        <f t="shared" si="31"/>
        <v>33159</v>
      </c>
      <c r="CA31" s="38">
        <v>14160</v>
      </c>
      <c r="CB31" s="39">
        <f t="shared" si="32"/>
        <v>94531</v>
      </c>
      <c r="CC31" s="37">
        <v>112432</v>
      </c>
      <c r="CD31" s="37">
        <v>92420</v>
      </c>
      <c r="CE31" s="37">
        <f t="shared" si="33"/>
        <v>20012</v>
      </c>
      <c r="CF31" s="37">
        <v>78832</v>
      </c>
      <c r="CG31" s="37">
        <f t="shared" si="34"/>
        <v>33600</v>
      </c>
      <c r="CH31" s="40">
        <v>7320</v>
      </c>
      <c r="CI31" s="39">
        <f t="shared" si="35"/>
        <v>105112</v>
      </c>
      <c r="CJ31" s="37">
        <v>134346</v>
      </c>
      <c r="CK31" s="37">
        <v>115041</v>
      </c>
      <c r="CL31" s="37">
        <f t="shared" si="359"/>
        <v>19305</v>
      </c>
      <c r="CM31" s="37">
        <v>95232</v>
      </c>
      <c r="CN31" s="37">
        <f t="shared" si="360"/>
        <v>39114</v>
      </c>
      <c r="CO31" s="40">
        <v>25598</v>
      </c>
      <c r="CP31" s="41">
        <f t="shared" si="38"/>
        <v>108748</v>
      </c>
      <c r="CQ31" s="37">
        <v>98514</v>
      </c>
      <c r="CR31" s="40">
        <v>9793</v>
      </c>
      <c r="CS31" s="41">
        <f t="shared" si="54"/>
        <v>88721</v>
      </c>
      <c r="CT31" s="37">
        <v>117398</v>
      </c>
      <c r="CU31" s="40">
        <v>18458</v>
      </c>
      <c r="CV31" s="41">
        <f t="shared" si="55"/>
        <v>98940</v>
      </c>
      <c r="CW31" s="37">
        <v>115034</v>
      </c>
      <c r="CX31" s="40">
        <v>13611</v>
      </c>
      <c r="CY31" s="41">
        <f t="shared" si="266"/>
        <v>101423</v>
      </c>
      <c r="CZ31" s="37">
        <v>77897</v>
      </c>
      <c r="DA31" s="40">
        <v>5362</v>
      </c>
      <c r="DB31" s="41">
        <f t="shared" si="267"/>
        <v>72535</v>
      </c>
      <c r="DC31" s="37">
        <v>87434</v>
      </c>
      <c r="DD31" s="40">
        <v>6990</v>
      </c>
      <c r="DE31" s="42">
        <f t="shared" si="268"/>
        <v>80444</v>
      </c>
    </row>
    <row r="32" spans="1:109" s="1" customFormat="1" ht="12.5" x14ac:dyDescent="0.25">
      <c r="A32" s="112" t="s">
        <v>54</v>
      </c>
      <c r="B32" s="122">
        <f>100260+64120</f>
        <v>164380</v>
      </c>
      <c r="C32" s="84">
        <f>86860+62160</f>
        <v>149020</v>
      </c>
      <c r="D32" s="29">
        <f t="shared" ref="D32" si="466">B32-C32</f>
        <v>15360</v>
      </c>
      <c r="E32" s="84">
        <f>70280+5560+60400+1640</f>
        <v>137880</v>
      </c>
      <c r="F32" s="29">
        <f t="shared" ref="F32" si="467">B32-E32</f>
        <v>26500</v>
      </c>
      <c r="G32" s="65">
        <v>64120</v>
      </c>
      <c r="H32" s="116">
        <f t="shared" ref="H32" si="468">B32-G32</f>
        <v>100260</v>
      </c>
      <c r="I32" s="121"/>
      <c r="J32" s="80">
        <f>140020+82900</f>
        <v>222920</v>
      </c>
      <c r="K32" s="89">
        <f>123040+77280</f>
        <v>200320</v>
      </c>
      <c r="L32" s="90">
        <f t="shared" ref="L32" si="469">J32-K32</f>
        <v>22600</v>
      </c>
      <c r="M32" s="89">
        <f>106640+8120+73600+4760</f>
        <v>193120</v>
      </c>
      <c r="N32" s="90">
        <f t="shared" ref="N32" si="470">J32-M32</f>
        <v>29800</v>
      </c>
      <c r="O32" s="105">
        <v>82900</v>
      </c>
      <c r="P32" s="96">
        <f t="shared" ref="P32" si="471">J32-O32</f>
        <v>140020</v>
      </c>
      <c r="Q32" s="108"/>
      <c r="R32" s="80">
        <f>129059+88775</f>
        <v>217834</v>
      </c>
      <c r="S32" s="84">
        <f>103880+84320</f>
        <v>188200</v>
      </c>
      <c r="T32" s="29">
        <f t="shared" ref="T32" si="472">R32-S32</f>
        <v>29634</v>
      </c>
      <c r="U32" s="84">
        <f>77480+11779+80460+2535</f>
        <v>172254</v>
      </c>
      <c r="V32" s="29">
        <f t="shared" ref="V32" si="473">R32-U32</f>
        <v>45580</v>
      </c>
      <c r="W32" s="65">
        <v>88775</v>
      </c>
      <c r="X32" s="31">
        <f t="shared" ref="X32" si="474">R32-W32</f>
        <v>129059</v>
      </c>
      <c r="Y32" s="83">
        <f>136040+47875</f>
        <v>183915</v>
      </c>
      <c r="Z32" s="28">
        <f>114760+38080</f>
        <v>152840</v>
      </c>
      <c r="AA32" s="29">
        <f t="shared" ref="AA32" si="475">Y32-Z32</f>
        <v>31075</v>
      </c>
      <c r="AB32" s="28">
        <f>92260+9300+34880+8956</f>
        <v>145396</v>
      </c>
      <c r="AC32" s="29">
        <f t="shared" ref="AC32" si="476">Y32-AB32</f>
        <v>38519</v>
      </c>
      <c r="AD32" s="30">
        <v>47875</v>
      </c>
      <c r="AE32" s="31">
        <f t="shared" ref="AE32" si="477">Y32-AD32</f>
        <v>136040</v>
      </c>
      <c r="AF32" s="80">
        <v>182520</v>
      </c>
      <c r="AG32" s="71">
        <v>155980</v>
      </c>
      <c r="AH32" s="29">
        <f t="shared" ref="AH32" si="478">AF32-AG32</f>
        <v>26540</v>
      </c>
      <c r="AI32" s="28">
        <v>139140</v>
      </c>
      <c r="AJ32" s="29">
        <f t="shared" ref="AJ32" si="479">AF32-AI32</f>
        <v>43380</v>
      </c>
      <c r="AK32" s="30">
        <v>97560</v>
      </c>
      <c r="AL32" s="31">
        <f t="shared" ref="AL32" si="480">AF32-AK32</f>
        <v>84960</v>
      </c>
      <c r="AM32" s="64">
        <v>171065</v>
      </c>
      <c r="AN32" s="28">
        <v>150123</v>
      </c>
      <c r="AO32" s="29">
        <f t="shared" si="15"/>
        <v>20942</v>
      </c>
      <c r="AP32" s="28">
        <v>131222</v>
      </c>
      <c r="AQ32" s="29">
        <f t="shared" si="16"/>
        <v>39843</v>
      </c>
      <c r="AR32" s="65">
        <v>24964</v>
      </c>
      <c r="AS32" s="31">
        <f t="shared" si="17"/>
        <v>146101</v>
      </c>
      <c r="AT32" s="23">
        <v>141821</v>
      </c>
      <c r="AU32" s="19">
        <v>125901</v>
      </c>
      <c r="AV32" s="20">
        <f t="shared" si="18"/>
        <v>15920</v>
      </c>
      <c r="AW32" s="19">
        <v>101900</v>
      </c>
      <c r="AX32" s="20">
        <f t="shared" si="19"/>
        <v>39921</v>
      </c>
      <c r="AY32" s="21">
        <v>30841</v>
      </c>
      <c r="AZ32" s="22">
        <f t="shared" si="20"/>
        <v>110980</v>
      </c>
      <c r="BA32" s="23">
        <v>143838</v>
      </c>
      <c r="BB32" s="19">
        <v>120718</v>
      </c>
      <c r="BC32" s="20">
        <f t="shared" si="21"/>
        <v>23120</v>
      </c>
      <c r="BD32" s="19">
        <v>99598</v>
      </c>
      <c r="BE32" s="20">
        <f t="shared" si="22"/>
        <v>44240</v>
      </c>
      <c r="BF32" s="21">
        <v>13540</v>
      </c>
      <c r="BG32" s="22">
        <f t="shared" si="23"/>
        <v>130298</v>
      </c>
      <c r="BH32" s="23">
        <v>116248</v>
      </c>
      <c r="BI32" s="24">
        <v>98487</v>
      </c>
      <c r="BJ32" s="20">
        <f t="shared" si="24"/>
        <v>17761</v>
      </c>
      <c r="BK32" s="19">
        <v>86687</v>
      </c>
      <c r="BL32" s="20">
        <f t="shared" si="25"/>
        <v>29561</v>
      </c>
      <c r="BM32" s="21">
        <v>8336</v>
      </c>
      <c r="BN32" s="22">
        <f t="shared" si="26"/>
        <v>107912</v>
      </c>
      <c r="BO32" s="23">
        <v>118392</v>
      </c>
      <c r="BP32" s="24">
        <v>99395</v>
      </c>
      <c r="BQ32" s="20">
        <f t="shared" si="27"/>
        <v>18997</v>
      </c>
      <c r="BR32" s="24">
        <v>87000</v>
      </c>
      <c r="BS32" s="20">
        <f t="shared" si="28"/>
        <v>31392</v>
      </c>
      <c r="BT32" s="21">
        <v>11020</v>
      </c>
      <c r="BU32" s="34">
        <f t="shared" si="29"/>
        <v>107372</v>
      </c>
      <c r="BV32" s="35">
        <v>105473</v>
      </c>
      <c r="BW32" s="36">
        <v>89775</v>
      </c>
      <c r="BX32" s="37">
        <f t="shared" si="30"/>
        <v>15698</v>
      </c>
      <c r="BY32" s="36">
        <v>74680</v>
      </c>
      <c r="BZ32" s="37">
        <f t="shared" si="31"/>
        <v>30793</v>
      </c>
      <c r="CA32" s="38">
        <v>12860</v>
      </c>
      <c r="CB32" s="39">
        <f t="shared" si="32"/>
        <v>92613</v>
      </c>
      <c r="CC32" s="37">
        <v>109620</v>
      </c>
      <c r="CD32" s="37">
        <v>92600</v>
      </c>
      <c r="CE32" s="37">
        <f t="shared" si="33"/>
        <v>17020</v>
      </c>
      <c r="CF32" s="37">
        <v>78640</v>
      </c>
      <c r="CG32" s="37">
        <f t="shared" si="34"/>
        <v>30980</v>
      </c>
      <c r="CH32" s="40">
        <v>5220</v>
      </c>
      <c r="CI32" s="39">
        <f t="shared" si="35"/>
        <v>104400</v>
      </c>
      <c r="CJ32" s="37">
        <v>123832</v>
      </c>
      <c r="CK32" s="37">
        <v>104119</v>
      </c>
      <c r="CL32" s="37">
        <f t="shared" si="359"/>
        <v>19713</v>
      </c>
      <c r="CM32" s="37">
        <v>87538</v>
      </c>
      <c r="CN32" s="37">
        <f t="shared" si="360"/>
        <v>36294</v>
      </c>
      <c r="CO32" s="40">
        <v>9239</v>
      </c>
      <c r="CP32" s="41">
        <f t="shared" si="38"/>
        <v>114593</v>
      </c>
      <c r="CQ32" s="37">
        <v>102796</v>
      </c>
      <c r="CR32" s="40">
        <v>18820</v>
      </c>
      <c r="CS32" s="41">
        <f t="shared" si="54"/>
        <v>83976</v>
      </c>
      <c r="CT32" s="37">
        <v>106935</v>
      </c>
      <c r="CU32" s="40">
        <v>25185</v>
      </c>
      <c r="CV32" s="41">
        <f t="shared" si="55"/>
        <v>81750</v>
      </c>
      <c r="CW32" s="37">
        <v>104174</v>
      </c>
      <c r="CX32" s="40">
        <v>11219</v>
      </c>
      <c r="CY32" s="41">
        <f t="shared" si="266"/>
        <v>92955</v>
      </c>
      <c r="CZ32" s="37">
        <v>85302</v>
      </c>
      <c r="DA32" s="40">
        <v>16357</v>
      </c>
      <c r="DB32" s="41">
        <f t="shared" si="267"/>
        <v>68945</v>
      </c>
      <c r="DC32" s="37">
        <v>76230</v>
      </c>
      <c r="DD32" s="40">
        <v>3340</v>
      </c>
      <c r="DE32" s="42">
        <f t="shared" si="268"/>
        <v>72890</v>
      </c>
    </row>
    <row r="33" spans="1:109" s="1" customFormat="1" ht="12.5" x14ac:dyDescent="0.25">
      <c r="A33" s="112" t="s">
        <v>55</v>
      </c>
      <c r="B33" s="122">
        <f>94160+57540</f>
        <v>151700</v>
      </c>
      <c r="C33" s="84">
        <f>79840+54540</f>
        <v>134380</v>
      </c>
      <c r="D33" s="29">
        <f t="shared" ref="D33" si="481">B33-C33</f>
        <v>17320</v>
      </c>
      <c r="E33" s="84">
        <f>64720+5960+47800+2600</f>
        <v>121080</v>
      </c>
      <c r="F33" s="29">
        <f t="shared" ref="F33" si="482">B33-E33</f>
        <v>30620</v>
      </c>
      <c r="G33" s="65">
        <v>57540</v>
      </c>
      <c r="H33" s="116">
        <f t="shared" ref="H33" si="483">B33-G33</f>
        <v>94160</v>
      </c>
      <c r="I33" s="121"/>
      <c r="J33" s="80">
        <f>139060+82080</f>
        <v>221140</v>
      </c>
      <c r="K33" s="89">
        <f>122880+77240</f>
        <v>200120</v>
      </c>
      <c r="L33" s="90">
        <f t="shared" ref="L33" si="484">J33-K33</f>
        <v>21020</v>
      </c>
      <c r="M33" s="89">
        <f>104560+7940+72960+4240</f>
        <v>189700</v>
      </c>
      <c r="N33" s="90">
        <f t="shared" ref="N33" si="485">J33-M33</f>
        <v>31440</v>
      </c>
      <c r="O33" s="105">
        <v>82080</v>
      </c>
      <c r="P33" s="96">
        <f t="shared" ref="P33" si="486">J33-O33</f>
        <v>139060</v>
      </c>
      <c r="Q33" s="109"/>
      <c r="R33" s="101">
        <f>144325+82078</f>
        <v>226403</v>
      </c>
      <c r="S33" s="85">
        <f>117059+80020</f>
        <v>197079</v>
      </c>
      <c r="T33" s="86">
        <f t="shared" ref="T33" si="487">R33-S33</f>
        <v>29324</v>
      </c>
      <c r="U33" s="85">
        <f>91860+13120+75740+1618</f>
        <v>182338</v>
      </c>
      <c r="V33" s="86">
        <f t="shared" ref="V33" si="488">R33-U33</f>
        <v>44065</v>
      </c>
      <c r="W33" s="87">
        <v>82078</v>
      </c>
      <c r="X33" s="88">
        <f t="shared" ref="X33" si="489">R33-W33</f>
        <v>144325</v>
      </c>
      <c r="Y33" s="83">
        <f>139716+50019</f>
        <v>189735</v>
      </c>
      <c r="Z33" s="28">
        <f>119140+39680</f>
        <v>158820</v>
      </c>
      <c r="AA33" s="29">
        <f t="shared" ref="AA33" si="490">Y33-Z33</f>
        <v>30915</v>
      </c>
      <c r="AB33" s="28">
        <f>96900+10456+37040+9359</f>
        <v>153755</v>
      </c>
      <c r="AC33" s="29">
        <f t="shared" ref="AC33" si="491">Y33-AB33</f>
        <v>35980</v>
      </c>
      <c r="AD33" s="30">
        <v>50019</v>
      </c>
      <c r="AE33" s="31">
        <f t="shared" ref="AE33" si="492">Y33-AD33</f>
        <v>139716</v>
      </c>
      <c r="AF33" s="80">
        <v>167587</v>
      </c>
      <c r="AG33" s="71">
        <v>141347</v>
      </c>
      <c r="AH33" s="29">
        <f t="shared" ref="AH33" si="493">AF33-AG33</f>
        <v>26240</v>
      </c>
      <c r="AI33" s="28">
        <v>125660</v>
      </c>
      <c r="AJ33" s="29">
        <f t="shared" ref="AJ33" si="494">AF33-AI33</f>
        <v>41927</v>
      </c>
      <c r="AK33" s="30">
        <v>84400</v>
      </c>
      <c r="AL33" s="31">
        <f t="shared" ref="AL33" si="495">AF33-AK33</f>
        <v>83187</v>
      </c>
      <c r="AM33" s="64">
        <v>159253</v>
      </c>
      <c r="AN33" s="28">
        <v>136404</v>
      </c>
      <c r="AO33" s="29">
        <f t="shared" si="15"/>
        <v>22849</v>
      </c>
      <c r="AP33" s="28">
        <v>122704</v>
      </c>
      <c r="AQ33" s="29">
        <f t="shared" si="16"/>
        <v>36549</v>
      </c>
      <c r="AR33" s="65">
        <v>21880</v>
      </c>
      <c r="AS33" s="31">
        <f t="shared" si="17"/>
        <v>137373</v>
      </c>
      <c r="AT33" s="23">
        <v>140199</v>
      </c>
      <c r="AU33" s="19">
        <v>116980</v>
      </c>
      <c r="AV33" s="20">
        <f t="shared" si="18"/>
        <v>23219</v>
      </c>
      <c r="AW33" s="19">
        <v>89500</v>
      </c>
      <c r="AX33" s="20">
        <f t="shared" si="19"/>
        <v>50699</v>
      </c>
      <c r="AY33" s="21">
        <v>16420</v>
      </c>
      <c r="AZ33" s="22">
        <f t="shared" si="20"/>
        <v>123779</v>
      </c>
      <c r="BA33" s="23">
        <v>145418</v>
      </c>
      <c r="BB33" s="19">
        <v>121039</v>
      </c>
      <c r="BC33" s="20">
        <f t="shared" si="21"/>
        <v>24379</v>
      </c>
      <c r="BD33" s="19">
        <v>101180</v>
      </c>
      <c r="BE33" s="20">
        <f t="shared" si="22"/>
        <v>44238</v>
      </c>
      <c r="BF33" s="21">
        <v>12299</v>
      </c>
      <c r="BG33" s="22">
        <f t="shared" si="23"/>
        <v>133119</v>
      </c>
      <c r="BH33" s="23">
        <v>109583</v>
      </c>
      <c r="BI33" s="24">
        <v>92424</v>
      </c>
      <c r="BJ33" s="20">
        <f t="shared" si="24"/>
        <v>17159</v>
      </c>
      <c r="BK33" s="19">
        <v>82244</v>
      </c>
      <c r="BL33" s="20">
        <f t="shared" si="25"/>
        <v>27339</v>
      </c>
      <c r="BM33" s="21">
        <v>12180</v>
      </c>
      <c r="BN33" s="22">
        <f t="shared" si="26"/>
        <v>97403</v>
      </c>
      <c r="BO33" s="23">
        <v>121941</v>
      </c>
      <c r="BP33" s="24">
        <v>105066</v>
      </c>
      <c r="BQ33" s="20">
        <f t="shared" si="27"/>
        <v>16875</v>
      </c>
      <c r="BR33" s="24">
        <v>90926</v>
      </c>
      <c r="BS33" s="20">
        <f t="shared" si="28"/>
        <v>31015</v>
      </c>
      <c r="BT33" s="21">
        <v>11020</v>
      </c>
      <c r="BU33" s="34">
        <f t="shared" si="29"/>
        <v>110921</v>
      </c>
      <c r="BV33" s="35">
        <v>108114</v>
      </c>
      <c r="BW33" s="36">
        <v>93680</v>
      </c>
      <c r="BX33" s="37">
        <f t="shared" si="30"/>
        <v>14434</v>
      </c>
      <c r="BY33" s="36">
        <v>77760</v>
      </c>
      <c r="BZ33" s="37">
        <f t="shared" si="31"/>
        <v>30354</v>
      </c>
      <c r="CA33" s="38">
        <v>12900</v>
      </c>
      <c r="CB33" s="39">
        <f t="shared" si="32"/>
        <v>95214</v>
      </c>
      <c r="CC33" s="37">
        <v>120399</v>
      </c>
      <c r="CD33" s="37">
        <v>104820</v>
      </c>
      <c r="CE33" s="37">
        <f t="shared" si="33"/>
        <v>15579</v>
      </c>
      <c r="CF33" s="37">
        <v>89420</v>
      </c>
      <c r="CG33" s="37">
        <f t="shared" si="34"/>
        <v>30979</v>
      </c>
      <c r="CH33" s="40">
        <v>14479</v>
      </c>
      <c r="CI33" s="39">
        <f t="shared" si="35"/>
        <v>105920</v>
      </c>
      <c r="CJ33" s="37">
        <v>119955</v>
      </c>
      <c r="CK33" s="37">
        <v>103060</v>
      </c>
      <c r="CL33" s="37">
        <f t="shared" si="359"/>
        <v>16895</v>
      </c>
      <c r="CM33" s="37">
        <v>84779</v>
      </c>
      <c r="CN33" s="37">
        <f t="shared" si="360"/>
        <v>35176</v>
      </c>
      <c r="CO33" s="40">
        <v>15680</v>
      </c>
      <c r="CP33" s="41">
        <f t="shared" si="38"/>
        <v>104275</v>
      </c>
      <c r="CQ33" s="37">
        <v>99441</v>
      </c>
      <c r="CR33" s="40">
        <v>12420</v>
      </c>
      <c r="CS33" s="41">
        <f t="shared" si="54"/>
        <v>87021</v>
      </c>
      <c r="CT33" s="37">
        <v>101136</v>
      </c>
      <c r="CU33" s="40">
        <v>16278</v>
      </c>
      <c r="CV33" s="41">
        <f t="shared" si="55"/>
        <v>84858</v>
      </c>
      <c r="CW33" s="37">
        <v>95771</v>
      </c>
      <c r="CX33" s="40">
        <v>4440</v>
      </c>
      <c r="CY33" s="41">
        <f t="shared" si="266"/>
        <v>91331</v>
      </c>
      <c r="CZ33" s="37">
        <v>83860</v>
      </c>
      <c r="DA33" s="40">
        <v>12250</v>
      </c>
      <c r="DB33" s="41">
        <f t="shared" si="267"/>
        <v>71610</v>
      </c>
      <c r="DC33" s="37">
        <v>82733</v>
      </c>
      <c r="DD33" s="40">
        <v>7520</v>
      </c>
      <c r="DE33" s="42">
        <f t="shared" si="268"/>
        <v>75213</v>
      </c>
    </row>
    <row r="34" spans="1:109" s="1" customFormat="1" ht="12.5" x14ac:dyDescent="0.25">
      <c r="A34" s="112" t="s">
        <v>56</v>
      </c>
      <c r="B34" s="122">
        <f>97980+53661</f>
        <v>151641</v>
      </c>
      <c r="C34" s="84">
        <f>84960+52321</f>
        <v>137281</v>
      </c>
      <c r="D34" s="29">
        <f t="shared" ref="D34" si="496">B34-C34</f>
        <v>14360</v>
      </c>
      <c r="E34" s="84">
        <f>69760+6100+46760+1140</f>
        <v>123760</v>
      </c>
      <c r="F34" s="29">
        <f t="shared" ref="F34" si="497">B34-E34</f>
        <v>27881</v>
      </c>
      <c r="G34" s="65">
        <v>53661</v>
      </c>
      <c r="H34" s="116">
        <f t="shared" ref="H34" si="498">B34-G34</f>
        <v>97980</v>
      </c>
      <c r="I34" s="121"/>
      <c r="J34" s="80">
        <f>127580+78579</f>
        <v>206159</v>
      </c>
      <c r="K34" s="89">
        <f>110580+73120</f>
        <v>183700</v>
      </c>
      <c r="L34" s="90">
        <f t="shared" ref="L34" si="499">J34-K34</f>
        <v>22459</v>
      </c>
      <c r="M34" s="89">
        <f>93280+9500+69680+4440</f>
        <v>176900</v>
      </c>
      <c r="N34" s="90">
        <f t="shared" ref="N34" si="500">J34-M34</f>
        <v>29259</v>
      </c>
      <c r="O34" s="105">
        <v>78579</v>
      </c>
      <c r="P34" s="96">
        <f t="shared" ref="P34" si="501">J34-O34</f>
        <v>127580</v>
      </c>
      <c r="Q34" s="108"/>
      <c r="R34" s="80">
        <f>150762+82218</f>
        <v>232980</v>
      </c>
      <c r="S34" s="89">
        <f>124080+80220</f>
        <v>204300</v>
      </c>
      <c r="T34" s="90">
        <f t="shared" ref="T34" si="502">R34-S34</f>
        <v>28680</v>
      </c>
      <c r="U34" s="89">
        <f>97480+12642+74200+1238</f>
        <v>185560</v>
      </c>
      <c r="V34" s="90">
        <f t="shared" ref="V34" si="503">R34-U34</f>
        <v>47420</v>
      </c>
      <c r="W34" s="91">
        <v>82218</v>
      </c>
      <c r="X34" s="96">
        <f t="shared" ref="X34" si="504">R34-W34</f>
        <v>150762</v>
      </c>
      <c r="Y34" s="80">
        <f>147090+39378</f>
        <v>186468</v>
      </c>
      <c r="Z34" s="28">
        <v>147090</v>
      </c>
      <c r="AA34" s="29">
        <f t="shared" ref="AA34" si="505">Y34-Z34</f>
        <v>39378</v>
      </c>
      <c r="AB34" s="28">
        <f>100680+11020+32640+3958</f>
        <v>148298</v>
      </c>
      <c r="AC34" s="29">
        <f t="shared" ref="AC34" si="506">Y34-AB34</f>
        <v>38170</v>
      </c>
      <c r="AD34" s="30">
        <v>39378</v>
      </c>
      <c r="AE34" s="31">
        <f t="shared" ref="AE34" si="507">Y34-AD34</f>
        <v>147090</v>
      </c>
      <c r="AF34" s="80">
        <v>135860</v>
      </c>
      <c r="AG34" s="71">
        <v>110360</v>
      </c>
      <c r="AH34" s="29">
        <f t="shared" ref="AH34" si="508">AF34-AG34</f>
        <v>25500</v>
      </c>
      <c r="AI34" s="28">
        <v>96820</v>
      </c>
      <c r="AJ34" s="29">
        <f t="shared" ref="AJ34" si="509">AF34-AI34</f>
        <v>39040</v>
      </c>
      <c r="AK34" s="30">
        <v>19800</v>
      </c>
      <c r="AL34" s="31">
        <f t="shared" ref="AL34" si="510">AF34-AK34</f>
        <v>116060</v>
      </c>
      <c r="AM34" s="64">
        <v>136681</v>
      </c>
      <c r="AN34" s="28">
        <v>115781</v>
      </c>
      <c r="AO34" s="29">
        <f t="shared" ref="AO34:AO52" si="511">AM34-AN34</f>
        <v>20900</v>
      </c>
      <c r="AP34" s="28">
        <v>100340</v>
      </c>
      <c r="AQ34" s="29">
        <f t="shared" ref="AQ34:AQ52" si="512">AM34-AP34</f>
        <v>36341</v>
      </c>
      <c r="AR34" s="65">
        <v>15261</v>
      </c>
      <c r="AS34" s="31">
        <f t="shared" ref="AS34:AS52" si="513">AM34-AR34</f>
        <v>121420</v>
      </c>
      <c r="AT34" s="23">
        <v>128720</v>
      </c>
      <c r="AU34" s="19">
        <v>108220</v>
      </c>
      <c r="AV34" s="20">
        <f t="shared" ref="AV34:AV52" si="514">AT34-AU34</f>
        <v>20500</v>
      </c>
      <c r="AW34" s="19">
        <v>86100</v>
      </c>
      <c r="AX34" s="20">
        <f t="shared" ref="AX34:AX52" si="515">AT34-AW34</f>
        <v>42620</v>
      </c>
      <c r="AY34" s="21">
        <v>18640</v>
      </c>
      <c r="AZ34" s="22">
        <f t="shared" ref="AZ34:AZ52" si="516">AT34-AY34</f>
        <v>110080</v>
      </c>
      <c r="BA34" s="23">
        <v>146137</v>
      </c>
      <c r="BB34" s="19">
        <v>123238</v>
      </c>
      <c r="BC34" s="20">
        <f t="shared" ref="BC34:BC52" si="517">BA34-BB34</f>
        <v>22899</v>
      </c>
      <c r="BD34" s="19">
        <v>101700</v>
      </c>
      <c r="BE34" s="20">
        <f t="shared" ref="BE34:BE52" si="518">BA34-BD34</f>
        <v>44437</v>
      </c>
      <c r="BF34" s="21">
        <v>11738</v>
      </c>
      <c r="BG34" s="22">
        <f t="shared" ref="BG34:BG52" si="519">BA34-BF34</f>
        <v>134399</v>
      </c>
      <c r="BH34" s="23">
        <v>117356</v>
      </c>
      <c r="BI34" s="24">
        <v>97604</v>
      </c>
      <c r="BJ34" s="20">
        <f t="shared" ref="BJ34:BJ51" si="520">BH34-BI34</f>
        <v>19752</v>
      </c>
      <c r="BK34" s="19">
        <v>86877</v>
      </c>
      <c r="BL34" s="20">
        <f t="shared" ref="BL34:BL51" si="521">BH34-BK34</f>
        <v>30479</v>
      </c>
      <c r="BM34" s="21">
        <v>11640</v>
      </c>
      <c r="BN34" s="22">
        <f t="shared" ref="BN34:BN51" si="522">BH34-BM34</f>
        <v>105716</v>
      </c>
      <c r="BO34" s="23">
        <v>114844</v>
      </c>
      <c r="BP34" s="24">
        <v>98120</v>
      </c>
      <c r="BQ34" s="20">
        <f t="shared" si="27"/>
        <v>16724</v>
      </c>
      <c r="BR34" s="24">
        <v>83040</v>
      </c>
      <c r="BS34" s="20">
        <f t="shared" si="28"/>
        <v>31804</v>
      </c>
      <c r="BT34" s="21">
        <v>6960</v>
      </c>
      <c r="BU34" s="34">
        <f t="shared" si="29"/>
        <v>107884</v>
      </c>
      <c r="BV34" s="35">
        <v>112658</v>
      </c>
      <c r="BW34" s="36">
        <v>98237</v>
      </c>
      <c r="BX34" s="37">
        <f t="shared" si="30"/>
        <v>14421</v>
      </c>
      <c r="BY34" s="36">
        <v>83536</v>
      </c>
      <c r="BZ34" s="37">
        <f t="shared" si="31"/>
        <v>29122</v>
      </c>
      <c r="CA34" s="38">
        <v>16432</v>
      </c>
      <c r="CB34" s="39">
        <f t="shared" si="32"/>
        <v>96226</v>
      </c>
      <c r="CC34" s="37">
        <v>131270</v>
      </c>
      <c r="CD34" s="37">
        <v>114300</v>
      </c>
      <c r="CE34" s="37">
        <f t="shared" si="33"/>
        <v>16970</v>
      </c>
      <c r="CF34" s="37">
        <v>95390</v>
      </c>
      <c r="CG34" s="37">
        <f t="shared" si="34"/>
        <v>35880</v>
      </c>
      <c r="CH34" s="40">
        <v>14240</v>
      </c>
      <c r="CI34" s="39">
        <f t="shared" si="35"/>
        <v>117030</v>
      </c>
      <c r="CJ34" s="37">
        <v>122544</v>
      </c>
      <c r="CK34" s="37">
        <v>107262</v>
      </c>
      <c r="CL34" s="37">
        <f t="shared" si="359"/>
        <v>15282</v>
      </c>
      <c r="CM34" s="37">
        <v>92680</v>
      </c>
      <c r="CN34" s="37">
        <f t="shared" si="360"/>
        <v>29864</v>
      </c>
      <c r="CO34" s="40">
        <v>22439</v>
      </c>
      <c r="CP34" s="41">
        <f t="shared" si="38"/>
        <v>100105</v>
      </c>
      <c r="CQ34" s="37">
        <v>101742</v>
      </c>
      <c r="CR34" s="40">
        <v>8019</v>
      </c>
      <c r="CS34" s="41">
        <f t="shared" si="54"/>
        <v>93723</v>
      </c>
      <c r="CT34" s="37">
        <v>109555</v>
      </c>
      <c r="CU34" s="40">
        <v>26720</v>
      </c>
      <c r="CV34" s="41">
        <f t="shared" si="55"/>
        <v>82835</v>
      </c>
      <c r="CW34" s="37">
        <v>85125</v>
      </c>
      <c r="CX34" s="40">
        <v>4976</v>
      </c>
      <c r="CY34" s="41">
        <f t="shared" si="266"/>
        <v>80149</v>
      </c>
      <c r="CZ34" s="37">
        <v>78869</v>
      </c>
      <c r="DA34" s="40">
        <v>4984</v>
      </c>
      <c r="DB34" s="41">
        <f t="shared" si="267"/>
        <v>73885</v>
      </c>
      <c r="DC34" s="37">
        <v>74814</v>
      </c>
      <c r="DD34" s="40">
        <v>7820</v>
      </c>
      <c r="DE34" s="42">
        <f t="shared" si="268"/>
        <v>66994</v>
      </c>
    </row>
    <row r="35" spans="1:109" s="1" customFormat="1" ht="12.5" x14ac:dyDescent="0.25">
      <c r="A35" s="112" t="s">
        <v>57</v>
      </c>
      <c r="B35" s="122">
        <f>102060+51860</f>
        <v>153920</v>
      </c>
      <c r="C35" s="84">
        <f>88360+50480</f>
        <v>138840</v>
      </c>
      <c r="D35" s="29">
        <f t="shared" ref="D35" si="523">B35-C35</f>
        <v>15080</v>
      </c>
      <c r="E35" s="84">
        <f>73000+5960+47600+1020</f>
        <v>127580</v>
      </c>
      <c r="F35" s="29">
        <f t="shared" ref="F35" si="524">B35-E35</f>
        <v>26340</v>
      </c>
      <c r="G35" s="65">
        <v>51860</v>
      </c>
      <c r="H35" s="116">
        <f t="shared" ref="H35" si="525">B35-G35</f>
        <v>102060</v>
      </c>
      <c r="I35" s="121"/>
      <c r="J35" s="80">
        <f>117940+69660</f>
        <v>187600</v>
      </c>
      <c r="K35" s="89">
        <f>103280+65960</f>
        <v>169240</v>
      </c>
      <c r="L35" s="90">
        <f t="shared" ref="L35" si="526">J35-K35</f>
        <v>18360</v>
      </c>
      <c r="M35" s="89">
        <f>88680+8040+62800+3080</f>
        <v>162600</v>
      </c>
      <c r="N35" s="90">
        <f t="shared" ref="N35" si="527">J35-M35</f>
        <v>25000</v>
      </c>
      <c r="O35" s="105">
        <v>69660</v>
      </c>
      <c r="P35" s="96">
        <f t="shared" ref="P35" si="528">J35-O35</f>
        <v>117940</v>
      </c>
      <c r="Q35" s="108"/>
      <c r="R35" s="95">
        <v>223460</v>
      </c>
      <c r="S35" s="92">
        <v>196920</v>
      </c>
      <c r="T35" s="93">
        <v>26540</v>
      </c>
      <c r="U35" s="92">
        <v>182740</v>
      </c>
      <c r="V35" s="93">
        <v>40720</v>
      </c>
      <c r="W35" s="94">
        <v>76040</v>
      </c>
      <c r="X35" s="97">
        <v>147420</v>
      </c>
      <c r="Y35" s="80">
        <f>140730+47356</f>
        <v>188086</v>
      </c>
      <c r="Z35" s="28">
        <f>119300+38560</f>
        <v>157860</v>
      </c>
      <c r="AA35" s="29">
        <f t="shared" ref="AA35" si="529">Y35-Z35</f>
        <v>30226</v>
      </c>
      <c r="AB35" s="28">
        <f>98220+11190+36400+8156</f>
        <v>153966</v>
      </c>
      <c r="AC35" s="29">
        <f t="shared" ref="AC35" si="530">Y35-AB35</f>
        <v>34120</v>
      </c>
      <c r="AD35" s="30">
        <v>47356</v>
      </c>
      <c r="AE35" s="31">
        <f t="shared" ref="AE35" si="531">Y35-AD35</f>
        <v>140730</v>
      </c>
      <c r="AF35" s="80">
        <v>129475</v>
      </c>
      <c r="AG35" s="71">
        <v>107680</v>
      </c>
      <c r="AH35" s="29">
        <f t="shared" ref="AH35" si="532">AF35-AG35</f>
        <v>21795</v>
      </c>
      <c r="AI35" s="28">
        <v>95040</v>
      </c>
      <c r="AJ35" s="29">
        <f t="shared" ref="AJ35" si="533">AF35-AI35</f>
        <v>34435</v>
      </c>
      <c r="AK35" s="30">
        <v>24620</v>
      </c>
      <c r="AL35" s="31">
        <f t="shared" ref="AL35:AL36" si="534">AF35-AK35</f>
        <v>104855</v>
      </c>
      <c r="AM35" s="64">
        <v>135583</v>
      </c>
      <c r="AN35" s="28">
        <v>113561</v>
      </c>
      <c r="AO35" s="29">
        <f t="shared" si="511"/>
        <v>22022</v>
      </c>
      <c r="AP35" s="28">
        <v>98862</v>
      </c>
      <c r="AQ35" s="29">
        <f t="shared" si="512"/>
        <v>36721</v>
      </c>
      <c r="AR35" s="65">
        <v>18823</v>
      </c>
      <c r="AS35" s="31">
        <f t="shared" si="513"/>
        <v>116760</v>
      </c>
      <c r="AT35" s="23">
        <v>132400</v>
      </c>
      <c r="AU35" s="19">
        <v>109401</v>
      </c>
      <c r="AV35" s="20">
        <f t="shared" si="514"/>
        <v>22999</v>
      </c>
      <c r="AW35" s="19">
        <v>88540</v>
      </c>
      <c r="AX35" s="20">
        <f t="shared" si="515"/>
        <v>43860</v>
      </c>
      <c r="AY35" s="21">
        <v>18701</v>
      </c>
      <c r="AZ35" s="22">
        <f t="shared" si="516"/>
        <v>113699</v>
      </c>
      <c r="BA35" s="23">
        <v>149397</v>
      </c>
      <c r="BB35" s="19">
        <v>123478</v>
      </c>
      <c r="BC35" s="20">
        <f t="shared" si="517"/>
        <v>25919</v>
      </c>
      <c r="BD35" s="19">
        <v>104058</v>
      </c>
      <c r="BE35" s="20">
        <f t="shared" si="518"/>
        <v>45339</v>
      </c>
      <c r="BF35" s="21">
        <v>16018</v>
      </c>
      <c r="BG35" s="22">
        <f t="shared" si="519"/>
        <v>133379</v>
      </c>
      <c r="BH35" s="23">
        <v>124100</v>
      </c>
      <c r="BI35" s="24">
        <v>104760</v>
      </c>
      <c r="BJ35" s="20">
        <f t="shared" si="520"/>
        <v>19340</v>
      </c>
      <c r="BK35" s="19">
        <v>92840</v>
      </c>
      <c r="BL35" s="20">
        <f t="shared" si="521"/>
        <v>31260</v>
      </c>
      <c r="BM35" s="21">
        <v>9620</v>
      </c>
      <c r="BN35" s="22">
        <f t="shared" si="522"/>
        <v>114480</v>
      </c>
      <c r="BO35" s="23">
        <v>115065</v>
      </c>
      <c r="BP35" s="24">
        <v>95889</v>
      </c>
      <c r="BQ35" s="20">
        <f t="shared" si="27"/>
        <v>19176</v>
      </c>
      <c r="BR35" s="24">
        <v>86539</v>
      </c>
      <c r="BS35" s="20">
        <f t="shared" si="28"/>
        <v>28526</v>
      </c>
      <c r="BT35" s="21">
        <v>12150</v>
      </c>
      <c r="BU35" s="34">
        <f t="shared" si="29"/>
        <v>102915</v>
      </c>
      <c r="BV35" s="35">
        <v>127634</v>
      </c>
      <c r="BW35" s="36">
        <v>109720</v>
      </c>
      <c r="BX35" s="37">
        <f t="shared" si="30"/>
        <v>17914</v>
      </c>
      <c r="BY35" s="36">
        <v>92620</v>
      </c>
      <c r="BZ35" s="37">
        <f t="shared" si="31"/>
        <v>35014</v>
      </c>
      <c r="CA35" s="38">
        <v>23160</v>
      </c>
      <c r="CB35" s="39">
        <f t="shared" si="32"/>
        <v>104474</v>
      </c>
      <c r="CC35" s="37">
        <v>136693</v>
      </c>
      <c r="CD35" s="37">
        <v>118020</v>
      </c>
      <c r="CE35" s="37">
        <f t="shared" si="33"/>
        <v>18673</v>
      </c>
      <c r="CF35" s="37">
        <v>96618</v>
      </c>
      <c r="CG35" s="37">
        <f t="shared" si="34"/>
        <v>40075</v>
      </c>
      <c r="CH35" s="40">
        <v>18860</v>
      </c>
      <c r="CI35" s="39">
        <f t="shared" si="35"/>
        <v>117833</v>
      </c>
      <c r="CJ35" s="37">
        <v>117808</v>
      </c>
      <c r="CK35" s="37">
        <v>104138</v>
      </c>
      <c r="CL35" s="37">
        <f t="shared" si="359"/>
        <v>13670</v>
      </c>
      <c r="CM35" s="37">
        <v>91190</v>
      </c>
      <c r="CN35" s="37">
        <f t="shared" si="360"/>
        <v>26618</v>
      </c>
      <c r="CO35" s="40">
        <v>13419</v>
      </c>
      <c r="CP35" s="41">
        <f t="shared" si="38"/>
        <v>104389</v>
      </c>
      <c r="CQ35" s="37">
        <v>105621</v>
      </c>
      <c r="CR35" s="40">
        <v>9200</v>
      </c>
      <c r="CS35" s="41">
        <f t="shared" si="54"/>
        <v>96421</v>
      </c>
      <c r="CT35" s="37">
        <v>109008</v>
      </c>
      <c r="CU35" s="40">
        <v>21989</v>
      </c>
      <c r="CV35" s="41">
        <f t="shared" si="55"/>
        <v>87019</v>
      </c>
      <c r="CW35" s="37">
        <v>80628</v>
      </c>
      <c r="CX35" s="40">
        <v>8140</v>
      </c>
      <c r="CY35" s="41">
        <f t="shared" si="266"/>
        <v>72488</v>
      </c>
      <c r="CZ35" s="37">
        <v>82496</v>
      </c>
      <c r="DA35" s="40">
        <v>7400</v>
      </c>
      <c r="DB35" s="41">
        <f t="shared" si="267"/>
        <v>75096</v>
      </c>
      <c r="DC35" s="37">
        <v>72953</v>
      </c>
      <c r="DD35" s="40">
        <v>5479</v>
      </c>
      <c r="DE35" s="42">
        <f t="shared" si="268"/>
        <v>67474</v>
      </c>
    </row>
    <row r="36" spans="1:109" s="1" customFormat="1" ht="12.5" x14ac:dyDescent="0.25">
      <c r="A36" s="112" t="s">
        <v>58</v>
      </c>
      <c r="B36" s="122">
        <f>98840+26240</f>
        <v>125080</v>
      </c>
      <c r="C36" s="84">
        <f>85880+25160</f>
        <v>111040</v>
      </c>
      <c r="D36" s="29">
        <f t="shared" ref="D36" si="535">B36-C36</f>
        <v>14040</v>
      </c>
      <c r="E36" s="84">
        <f>72880+5360+21240+1060</f>
        <v>100540</v>
      </c>
      <c r="F36" s="29">
        <f t="shared" ref="F36" si="536">B36-E36</f>
        <v>24540</v>
      </c>
      <c r="G36" s="65">
        <v>26240</v>
      </c>
      <c r="H36" s="116">
        <f t="shared" ref="H36" si="537">B36-G36</f>
        <v>98840</v>
      </c>
      <c r="I36" s="121"/>
      <c r="J36" s="80">
        <f>105076+75020</f>
        <v>180096</v>
      </c>
      <c r="K36" s="89">
        <f>89481+72480</f>
        <v>161961</v>
      </c>
      <c r="L36" s="90">
        <f t="shared" ref="L36" si="538">J36-K36</f>
        <v>18135</v>
      </c>
      <c r="M36" s="89">
        <f>76100+9915+69480+1840</f>
        <v>157335</v>
      </c>
      <c r="N36" s="90">
        <f t="shared" ref="N36" si="539">J36-M36</f>
        <v>22761</v>
      </c>
      <c r="O36" s="105">
        <v>75020</v>
      </c>
      <c r="P36" s="96">
        <f t="shared" ref="P36" si="540">J36-O36</f>
        <v>105076</v>
      </c>
      <c r="Q36" s="108"/>
      <c r="R36" s="80">
        <f>143100+64959</f>
        <v>208059</v>
      </c>
      <c r="S36" s="89">
        <f>120680+62520</f>
        <v>183200</v>
      </c>
      <c r="T36" s="90">
        <f t="shared" ref="T36" si="541">R36-S36</f>
        <v>24859</v>
      </c>
      <c r="U36" s="89">
        <f>101240+12540+59600+1799</f>
        <v>175179</v>
      </c>
      <c r="V36" s="90">
        <f t="shared" ref="V36" si="542">R36-U36</f>
        <v>32880</v>
      </c>
      <c r="W36" s="91">
        <v>64959</v>
      </c>
      <c r="X36" s="96">
        <f t="shared" ref="X36" si="543">R36-W36</f>
        <v>143100</v>
      </c>
      <c r="Y36" s="80">
        <f>122420+38916</f>
        <v>161336</v>
      </c>
      <c r="Z36" s="28">
        <f>104000+35880</f>
        <v>139880</v>
      </c>
      <c r="AA36" s="29">
        <f t="shared" ref="AA36" si="544">Y36-Z36</f>
        <v>21456</v>
      </c>
      <c r="AB36" s="28">
        <f>88480+10380+33840+2176</f>
        <v>134876</v>
      </c>
      <c r="AC36" s="29">
        <f t="shared" ref="AC36" si="545">Y36-AB36</f>
        <v>26460</v>
      </c>
      <c r="AD36" s="30">
        <v>38916</v>
      </c>
      <c r="AE36" s="31">
        <f t="shared" ref="AE36" si="546">Y36-AD36</f>
        <v>122420</v>
      </c>
      <c r="AF36" s="80">
        <v>132439</v>
      </c>
      <c r="AG36" s="71">
        <v>110240</v>
      </c>
      <c r="AH36" s="29">
        <f t="shared" ref="AH36" si="547">AF36-AG36</f>
        <v>22199</v>
      </c>
      <c r="AI36" s="28">
        <v>101979</v>
      </c>
      <c r="AJ36" s="29">
        <f t="shared" ref="AJ36" si="548">AF36-AI36</f>
        <v>30460</v>
      </c>
      <c r="AK36" s="30">
        <v>38520</v>
      </c>
      <c r="AL36" s="31">
        <f t="shared" si="534"/>
        <v>93919</v>
      </c>
      <c r="AM36" s="64">
        <v>138438</v>
      </c>
      <c r="AN36" s="28">
        <v>116860</v>
      </c>
      <c r="AO36" s="29">
        <f t="shared" si="511"/>
        <v>21578</v>
      </c>
      <c r="AP36" s="28">
        <v>101324</v>
      </c>
      <c r="AQ36" s="29">
        <f t="shared" si="512"/>
        <v>37114</v>
      </c>
      <c r="AR36" s="65">
        <v>21578</v>
      </c>
      <c r="AS36" s="31">
        <f t="shared" si="513"/>
        <v>116860</v>
      </c>
      <c r="AT36" s="23">
        <v>127667</v>
      </c>
      <c r="AU36" s="19">
        <v>109120</v>
      </c>
      <c r="AV36" s="20">
        <f t="shared" si="514"/>
        <v>18547</v>
      </c>
      <c r="AW36" s="19">
        <v>88760</v>
      </c>
      <c r="AX36" s="20">
        <f t="shared" si="515"/>
        <v>38907</v>
      </c>
      <c r="AY36" s="21">
        <v>12440</v>
      </c>
      <c r="AZ36" s="22">
        <f t="shared" si="516"/>
        <v>115227</v>
      </c>
      <c r="BA36" s="23">
        <v>146652</v>
      </c>
      <c r="BB36" s="19">
        <v>121019</v>
      </c>
      <c r="BC36" s="20">
        <f t="shared" si="517"/>
        <v>25633</v>
      </c>
      <c r="BD36" s="19">
        <v>104500</v>
      </c>
      <c r="BE36" s="20">
        <f t="shared" si="518"/>
        <v>42152</v>
      </c>
      <c r="BF36" s="21">
        <v>18078</v>
      </c>
      <c r="BG36" s="22">
        <f t="shared" si="519"/>
        <v>128574</v>
      </c>
      <c r="BH36" s="23">
        <v>134339</v>
      </c>
      <c r="BI36" s="24">
        <v>113120</v>
      </c>
      <c r="BJ36" s="20">
        <f t="shared" si="520"/>
        <v>21219</v>
      </c>
      <c r="BK36" s="19">
        <v>105460</v>
      </c>
      <c r="BL36" s="20">
        <f t="shared" si="521"/>
        <v>28879</v>
      </c>
      <c r="BM36" s="21">
        <v>7020</v>
      </c>
      <c r="BN36" s="22">
        <f t="shared" si="522"/>
        <v>127319</v>
      </c>
      <c r="BO36" s="23">
        <v>111158</v>
      </c>
      <c r="BP36" s="24">
        <v>94399</v>
      </c>
      <c r="BQ36" s="20">
        <f t="shared" si="27"/>
        <v>16759</v>
      </c>
      <c r="BR36" s="24">
        <v>83499</v>
      </c>
      <c r="BS36" s="20">
        <f t="shared" si="28"/>
        <v>27659</v>
      </c>
      <c r="BT36" s="21">
        <v>20799</v>
      </c>
      <c r="BU36" s="34">
        <f t="shared" si="29"/>
        <v>90359</v>
      </c>
      <c r="BV36" s="35">
        <v>117496</v>
      </c>
      <c r="BW36" s="36">
        <v>101660</v>
      </c>
      <c r="BX36" s="37">
        <f t="shared" si="30"/>
        <v>15836</v>
      </c>
      <c r="BY36" s="36">
        <v>87580</v>
      </c>
      <c r="BZ36" s="37">
        <f t="shared" si="31"/>
        <v>29916</v>
      </c>
      <c r="CA36" s="38">
        <v>19800</v>
      </c>
      <c r="CB36" s="39">
        <f t="shared" si="32"/>
        <v>97696</v>
      </c>
      <c r="CC36" s="37">
        <v>130684</v>
      </c>
      <c r="CD36" s="37">
        <v>112540</v>
      </c>
      <c r="CE36" s="37">
        <f t="shared" si="33"/>
        <v>18144</v>
      </c>
      <c r="CF36" s="37">
        <v>100639</v>
      </c>
      <c r="CG36" s="37">
        <f t="shared" si="34"/>
        <v>30045</v>
      </c>
      <c r="CH36" s="40">
        <v>24360</v>
      </c>
      <c r="CI36" s="39">
        <f t="shared" si="35"/>
        <v>106324</v>
      </c>
      <c r="CJ36" s="37">
        <v>118479</v>
      </c>
      <c r="CK36" s="37">
        <v>102859</v>
      </c>
      <c r="CL36" s="37">
        <f t="shared" si="359"/>
        <v>15620</v>
      </c>
      <c r="CM36" s="37">
        <v>90800</v>
      </c>
      <c r="CN36" s="37">
        <f t="shared" si="360"/>
        <v>27679</v>
      </c>
      <c r="CO36" s="40">
        <v>18139</v>
      </c>
      <c r="CP36" s="41">
        <f t="shared" si="38"/>
        <v>100340</v>
      </c>
      <c r="CQ36" s="37">
        <v>99715</v>
      </c>
      <c r="CR36" s="40">
        <v>5779</v>
      </c>
      <c r="CS36" s="41">
        <f t="shared" si="54"/>
        <v>93936</v>
      </c>
      <c r="CT36" s="37">
        <v>110506</v>
      </c>
      <c r="CU36" s="40">
        <v>22528</v>
      </c>
      <c r="CV36" s="41">
        <f t="shared" si="55"/>
        <v>87978</v>
      </c>
      <c r="CW36" s="37">
        <v>77065</v>
      </c>
      <c r="CX36" s="40">
        <v>5660</v>
      </c>
      <c r="CY36" s="41">
        <f t="shared" si="266"/>
        <v>71405</v>
      </c>
      <c r="CZ36" s="37">
        <v>77559</v>
      </c>
      <c r="DA36" s="40">
        <v>5657</v>
      </c>
      <c r="DB36" s="41">
        <f t="shared" si="267"/>
        <v>71902</v>
      </c>
      <c r="DC36" s="37">
        <v>74925</v>
      </c>
      <c r="DD36" s="40">
        <v>8140</v>
      </c>
      <c r="DE36" s="42">
        <f t="shared" si="268"/>
        <v>66785</v>
      </c>
    </row>
    <row r="37" spans="1:109" s="1" customFormat="1" ht="12.5" x14ac:dyDescent="0.25">
      <c r="A37" s="112" t="s">
        <v>59</v>
      </c>
      <c r="B37" s="122">
        <f>97460+23721</f>
        <v>121181</v>
      </c>
      <c r="C37" s="84">
        <f>84800+23321</f>
        <v>108121</v>
      </c>
      <c r="D37" s="29">
        <f t="shared" ref="D37" si="549">B37-C37</f>
        <v>13060</v>
      </c>
      <c r="E37" s="84">
        <f>71280+5260+17640+360</f>
        <v>94540</v>
      </c>
      <c r="F37" s="29">
        <f t="shared" ref="F37" si="550">B37-E37</f>
        <v>26641</v>
      </c>
      <c r="G37" s="65">
        <v>23721</v>
      </c>
      <c r="H37" s="116">
        <f t="shared" ref="H37" si="551">B37-G37</f>
        <v>97460</v>
      </c>
      <c r="I37" s="121"/>
      <c r="J37" s="80">
        <f>106440+64040</f>
        <v>170480</v>
      </c>
      <c r="K37" s="89">
        <f>90579+60840</f>
        <v>151419</v>
      </c>
      <c r="L37" s="90">
        <f t="shared" ref="L37" si="552">J37-K37</f>
        <v>19061</v>
      </c>
      <c r="M37" s="89">
        <f>76560+9660+57720+2580</f>
        <v>146520</v>
      </c>
      <c r="N37" s="90">
        <f t="shared" ref="N37" si="553">J37-M37</f>
        <v>23960</v>
      </c>
      <c r="O37" s="105">
        <v>64040</v>
      </c>
      <c r="P37" s="96">
        <f t="shared" ref="P37" si="554">J37-O37</f>
        <v>106440</v>
      </c>
      <c r="Q37" s="108"/>
      <c r="R37" s="80">
        <f>145090+68060</f>
        <v>213150</v>
      </c>
      <c r="S37" s="89">
        <f>125140+65160</f>
        <v>190300</v>
      </c>
      <c r="T37" s="90">
        <f t="shared" ref="T37" si="555">R37-S37</f>
        <v>22850</v>
      </c>
      <c r="U37" s="89">
        <f>108180+10640+61280+2140</f>
        <v>182240</v>
      </c>
      <c r="V37" s="90">
        <f t="shared" ref="V37" si="556">R37-U37</f>
        <v>30910</v>
      </c>
      <c r="W37" s="91">
        <v>68060</v>
      </c>
      <c r="X37" s="96">
        <f t="shared" ref="X37" si="557">R37-W37</f>
        <v>145090</v>
      </c>
      <c r="Y37" s="83">
        <f>132140+37860</f>
        <v>170000</v>
      </c>
      <c r="Z37" s="28">
        <f>115840+35600</f>
        <v>151440</v>
      </c>
      <c r="AA37" s="29">
        <f t="shared" ref="AA37" si="558">Y37-Z37</f>
        <v>18560</v>
      </c>
      <c r="AB37" s="28">
        <f>98000+8820+33760+1520</f>
        <v>142100</v>
      </c>
      <c r="AC37" s="29">
        <f t="shared" ref="AC37" si="559">Y37-AB37</f>
        <v>27900</v>
      </c>
      <c r="AD37" s="30">
        <v>37860</v>
      </c>
      <c r="AE37" s="31">
        <f t="shared" ref="AE37" si="560">Y37-AD37</f>
        <v>132140</v>
      </c>
      <c r="AF37" s="80">
        <v>128679</v>
      </c>
      <c r="AG37" s="71">
        <v>107219</v>
      </c>
      <c r="AH37" s="29">
        <f t="shared" ref="AH37" si="561">AF37-AG37</f>
        <v>21460</v>
      </c>
      <c r="AI37" s="28">
        <v>96520</v>
      </c>
      <c r="AJ37" s="29">
        <f t="shared" ref="AJ37" si="562">AF37-AI37</f>
        <v>32159</v>
      </c>
      <c r="AK37" s="30">
        <v>35540</v>
      </c>
      <c r="AL37" s="31">
        <f t="shared" ref="AL37" si="563">AF37-AK37</f>
        <v>93139</v>
      </c>
      <c r="AM37" s="64">
        <v>137167</v>
      </c>
      <c r="AN37" s="28">
        <v>114680</v>
      </c>
      <c r="AO37" s="29">
        <f t="shared" si="511"/>
        <v>22487</v>
      </c>
      <c r="AP37" s="28">
        <v>100540</v>
      </c>
      <c r="AQ37" s="29">
        <f t="shared" si="512"/>
        <v>36627</v>
      </c>
      <c r="AR37" s="65">
        <v>15700</v>
      </c>
      <c r="AS37" s="31">
        <f t="shared" si="513"/>
        <v>121467</v>
      </c>
      <c r="AT37" s="23">
        <v>125922</v>
      </c>
      <c r="AU37" s="19">
        <v>107401</v>
      </c>
      <c r="AV37" s="20">
        <f t="shared" si="514"/>
        <v>18521</v>
      </c>
      <c r="AW37" s="19">
        <v>88521</v>
      </c>
      <c r="AX37" s="20">
        <f t="shared" si="515"/>
        <v>37401</v>
      </c>
      <c r="AY37" s="21">
        <v>13180</v>
      </c>
      <c r="AZ37" s="22">
        <f t="shared" si="516"/>
        <v>112742</v>
      </c>
      <c r="BA37" s="23">
        <v>134802</v>
      </c>
      <c r="BB37" s="19">
        <v>113095</v>
      </c>
      <c r="BC37" s="20">
        <f t="shared" si="517"/>
        <v>21707</v>
      </c>
      <c r="BD37" s="19">
        <v>97285</v>
      </c>
      <c r="BE37" s="20">
        <f t="shared" si="518"/>
        <v>37517</v>
      </c>
      <c r="BF37" s="21">
        <v>11260</v>
      </c>
      <c r="BG37" s="22">
        <f t="shared" si="519"/>
        <v>123542</v>
      </c>
      <c r="BH37" s="23">
        <v>133343</v>
      </c>
      <c r="BI37" s="24">
        <v>114000</v>
      </c>
      <c r="BJ37" s="20">
        <f t="shared" si="520"/>
        <v>19343</v>
      </c>
      <c r="BK37" s="19">
        <v>105203</v>
      </c>
      <c r="BL37" s="20">
        <f t="shared" si="521"/>
        <v>28140</v>
      </c>
      <c r="BM37" s="21">
        <v>9393</v>
      </c>
      <c r="BN37" s="22">
        <f t="shared" si="522"/>
        <v>123950</v>
      </c>
      <c r="BO37" s="23">
        <v>103211</v>
      </c>
      <c r="BP37" s="24">
        <v>87174</v>
      </c>
      <c r="BQ37" s="20">
        <f t="shared" si="27"/>
        <v>16037</v>
      </c>
      <c r="BR37" s="24">
        <v>76414</v>
      </c>
      <c r="BS37" s="20">
        <f t="shared" si="28"/>
        <v>26797</v>
      </c>
      <c r="BT37" s="21">
        <v>12888</v>
      </c>
      <c r="BU37" s="34">
        <f t="shared" si="29"/>
        <v>90323</v>
      </c>
      <c r="BV37" s="35">
        <v>122536</v>
      </c>
      <c r="BW37" s="36">
        <v>108536</v>
      </c>
      <c r="BX37" s="37">
        <f t="shared" si="30"/>
        <v>14000</v>
      </c>
      <c r="BY37" s="36">
        <v>93256</v>
      </c>
      <c r="BZ37" s="37">
        <f t="shared" si="31"/>
        <v>29280</v>
      </c>
      <c r="CA37" s="38">
        <v>20816</v>
      </c>
      <c r="CB37" s="39">
        <f t="shared" si="32"/>
        <v>101720</v>
      </c>
      <c r="CC37" s="37">
        <v>128391</v>
      </c>
      <c r="CD37" s="37">
        <v>111121</v>
      </c>
      <c r="CE37" s="37">
        <f t="shared" si="33"/>
        <v>17270</v>
      </c>
      <c r="CF37" s="37">
        <v>97660</v>
      </c>
      <c r="CG37" s="37">
        <f t="shared" si="34"/>
        <v>30731</v>
      </c>
      <c r="CH37" s="40">
        <v>20041</v>
      </c>
      <c r="CI37" s="39">
        <f t="shared" si="35"/>
        <v>108350</v>
      </c>
      <c r="CJ37" s="37">
        <v>115741</v>
      </c>
      <c r="CK37" s="37">
        <v>101700</v>
      </c>
      <c r="CL37" s="37">
        <f t="shared" si="359"/>
        <v>14041</v>
      </c>
      <c r="CM37" s="37">
        <v>93520</v>
      </c>
      <c r="CN37" s="37">
        <f t="shared" si="360"/>
        <v>22221</v>
      </c>
      <c r="CO37" s="40">
        <v>19980</v>
      </c>
      <c r="CP37" s="41">
        <f t="shared" si="38"/>
        <v>95761</v>
      </c>
      <c r="CQ37" s="37">
        <v>96066</v>
      </c>
      <c r="CR37" s="40">
        <v>6919</v>
      </c>
      <c r="CS37" s="41">
        <f t="shared" si="54"/>
        <v>89147</v>
      </c>
      <c r="CT37" s="37">
        <v>102991</v>
      </c>
      <c r="CU37" s="40">
        <v>21375</v>
      </c>
      <c r="CV37" s="41">
        <f t="shared" si="55"/>
        <v>81616</v>
      </c>
      <c r="CW37" s="37">
        <v>95390</v>
      </c>
      <c r="CX37" s="40">
        <v>21039</v>
      </c>
      <c r="CY37" s="41">
        <f t="shared" si="266"/>
        <v>74351</v>
      </c>
      <c r="CZ37" s="37">
        <v>75797</v>
      </c>
      <c r="DA37" s="40">
        <v>4540</v>
      </c>
      <c r="DB37" s="41">
        <f t="shared" si="267"/>
        <v>71257</v>
      </c>
      <c r="DC37" s="37">
        <v>80333</v>
      </c>
      <c r="DD37" s="40">
        <v>6809</v>
      </c>
      <c r="DE37" s="42">
        <f t="shared" si="268"/>
        <v>73524</v>
      </c>
    </row>
    <row r="38" spans="1:109" s="1" customFormat="1" ht="12.5" x14ac:dyDescent="0.25">
      <c r="A38" s="112" t="s">
        <v>60</v>
      </c>
      <c r="B38" s="124">
        <f>96060+20220</f>
        <v>116280</v>
      </c>
      <c r="C38" s="84">
        <f>83320+19440</f>
        <v>102760</v>
      </c>
      <c r="D38" s="29">
        <f t="shared" ref="D38" si="564">B38-C38</f>
        <v>13520</v>
      </c>
      <c r="E38" s="84">
        <f>67680+5340+15720+700</f>
        <v>89440</v>
      </c>
      <c r="F38" s="29">
        <f t="shared" ref="F38" si="565">B38-E38</f>
        <v>26840</v>
      </c>
      <c r="G38" s="65">
        <v>20220</v>
      </c>
      <c r="H38" s="116">
        <f t="shared" ref="H38" si="566">B38-G38</f>
        <v>96060</v>
      </c>
      <c r="I38" s="121"/>
      <c r="J38" s="80">
        <f>113891+57356</f>
        <v>171247</v>
      </c>
      <c r="K38" s="89">
        <f>100306+55060</f>
        <v>155366</v>
      </c>
      <c r="L38" s="90">
        <f t="shared" ref="L38" si="567">J38-K38</f>
        <v>15881</v>
      </c>
      <c r="M38" s="89">
        <f>86006+8165+53300+1956</f>
        <v>149427</v>
      </c>
      <c r="N38" s="90">
        <f t="shared" ref="N38" si="568">J38-M38</f>
        <v>21820</v>
      </c>
      <c r="O38" s="105">
        <v>57356</v>
      </c>
      <c r="P38" s="96">
        <f t="shared" ref="P38" si="569">J38-O38</f>
        <v>113891</v>
      </c>
      <c r="Q38" s="108"/>
      <c r="R38" s="80">
        <f>143800+36340</f>
        <v>180140</v>
      </c>
      <c r="S38" s="89">
        <f>125920+33280</f>
        <v>159200</v>
      </c>
      <c r="T38" s="90">
        <f t="shared" ref="T38" si="570">R38-S38</f>
        <v>20940</v>
      </c>
      <c r="U38" s="89">
        <f>107080+11120+27040+2520</f>
        <v>147760</v>
      </c>
      <c r="V38" s="90">
        <f t="shared" ref="V38" si="571">R38-U38</f>
        <v>32380</v>
      </c>
      <c r="W38" s="91">
        <v>36340</v>
      </c>
      <c r="X38" s="96">
        <f t="shared" ref="X38" si="572">R38-W38</f>
        <v>143800</v>
      </c>
      <c r="Y38" s="83">
        <f>138200+47360</f>
        <v>185560</v>
      </c>
      <c r="Z38" s="28">
        <f>117920+44760</f>
        <v>162680</v>
      </c>
      <c r="AA38" s="29">
        <f t="shared" ref="AA38" si="573">Y38-Z38</f>
        <v>22880</v>
      </c>
      <c r="AB38" s="28">
        <f>97840+9980+43600+2180</f>
        <v>153600</v>
      </c>
      <c r="AC38" s="29">
        <f t="shared" ref="AC38" si="574">Y38-AB38</f>
        <v>31960</v>
      </c>
      <c r="AD38" s="30">
        <v>47360</v>
      </c>
      <c r="AE38" s="31">
        <f t="shared" ref="AE38" si="575">Y38-AD38</f>
        <v>138200</v>
      </c>
      <c r="AF38" s="80">
        <v>121958</v>
      </c>
      <c r="AG38" s="71">
        <v>101260</v>
      </c>
      <c r="AH38" s="29">
        <f t="shared" ref="AH38" si="576">AF38-AG38</f>
        <v>20698</v>
      </c>
      <c r="AI38" s="28">
        <v>93940</v>
      </c>
      <c r="AJ38" s="29">
        <f t="shared" ref="AJ38" si="577">AF38-AI38</f>
        <v>28018</v>
      </c>
      <c r="AK38" s="30">
        <v>27240</v>
      </c>
      <c r="AL38" s="31">
        <f t="shared" ref="AL38" si="578">AF38-AK38</f>
        <v>94718</v>
      </c>
      <c r="AM38" s="64">
        <v>136820</v>
      </c>
      <c r="AN38" s="28">
        <v>115120</v>
      </c>
      <c r="AO38" s="29">
        <f t="shared" si="511"/>
        <v>21700</v>
      </c>
      <c r="AP38" s="28">
        <v>101540</v>
      </c>
      <c r="AQ38" s="29">
        <f t="shared" si="512"/>
        <v>35280</v>
      </c>
      <c r="AR38" s="65">
        <v>21940</v>
      </c>
      <c r="AS38" s="31">
        <f t="shared" si="513"/>
        <v>114880</v>
      </c>
      <c r="AT38" s="23">
        <v>130920</v>
      </c>
      <c r="AU38" s="19">
        <v>111620</v>
      </c>
      <c r="AV38" s="20">
        <f t="shared" si="514"/>
        <v>19300</v>
      </c>
      <c r="AW38" s="19">
        <v>95460</v>
      </c>
      <c r="AX38" s="20">
        <f t="shared" si="515"/>
        <v>35460</v>
      </c>
      <c r="AY38" s="21">
        <v>9980</v>
      </c>
      <c r="AZ38" s="22">
        <f t="shared" si="516"/>
        <v>120940</v>
      </c>
      <c r="BA38" s="23">
        <v>138821</v>
      </c>
      <c r="BB38" s="19">
        <v>114220</v>
      </c>
      <c r="BC38" s="20">
        <f t="shared" si="517"/>
        <v>24601</v>
      </c>
      <c r="BD38" s="19">
        <v>100850</v>
      </c>
      <c r="BE38" s="20">
        <f t="shared" si="518"/>
        <v>37971</v>
      </c>
      <c r="BF38" s="21">
        <v>14740</v>
      </c>
      <c r="BG38" s="22">
        <f t="shared" si="519"/>
        <v>124081</v>
      </c>
      <c r="BH38" s="23">
        <v>131860</v>
      </c>
      <c r="BI38" s="24">
        <v>113180</v>
      </c>
      <c r="BJ38" s="20">
        <f t="shared" si="520"/>
        <v>18680</v>
      </c>
      <c r="BK38" s="19">
        <v>104820</v>
      </c>
      <c r="BL38" s="20">
        <f t="shared" si="521"/>
        <v>27040</v>
      </c>
      <c r="BM38" s="21">
        <v>10740</v>
      </c>
      <c r="BN38" s="22">
        <f t="shared" si="522"/>
        <v>121120</v>
      </c>
      <c r="BO38" s="23">
        <v>105363</v>
      </c>
      <c r="BP38" s="24">
        <v>87360</v>
      </c>
      <c r="BQ38" s="20">
        <f t="shared" si="27"/>
        <v>18003</v>
      </c>
      <c r="BR38" s="24">
        <v>79640</v>
      </c>
      <c r="BS38" s="20">
        <f t="shared" si="28"/>
        <v>25723</v>
      </c>
      <c r="BT38" s="21">
        <v>12856</v>
      </c>
      <c r="BU38" s="34">
        <f t="shared" si="29"/>
        <v>92507</v>
      </c>
      <c r="BV38" s="35">
        <v>126230</v>
      </c>
      <c r="BW38" s="36">
        <v>111002</v>
      </c>
      <c r="BX38" s="37">
        <f t="shared" si="30"/>
        <v>15228</v>
      </c>
      <c r="BY38" s="36">
        <v>95569</v>
      </c>
      <c r="BZ38" s="37">
        <f t="shared" si="31"/>
        <v>30661</v>
      </c>
      <c r="CA38" s="38">
        <v>27822</v>
      </c>
      <c r="CB38" s="39">
        <f t="shared" si="32"/>
        <v>98408</v>
      </c>
      <c r="CC38" s="37">
        <v>139607</v>
      </c>
      <c r="CD38" s="37">
        <v>120780</v>
      </c>
      <c r="CE38" s="37">
        <f t="shared" si="33"/>
        <v>18827</v>
      </c>
      <c r="CF38" s="37">
        <v>104258</v>
      </c>
      <c r="CG38" s="37">
        <f t="shared" si="34"/>
        <v>35349</v>
      </c>
      <c r="CH38" s="40">
        <v>31467</v>
      </c>
      <c r="CI38" s="39">
        <f t="shared" si="35"/>
        <v>108140</v>
      </c>
      <c r="CJ38" s="37">
        <v>119356</v>
      </c>
      <c r="CK38" s="37">
        <v>105997</v>
      </c>
      <c r="CL38" s="37">
        <f t="shared" si="359"/>
        <v>13359</v>
      </c>
      <c r="CM38" s="37">
        <v>97790</v>
      </c>
      <c r="CN38" s="37">
        <f t="shared" si="360"/>
        <v>21566</v>
      </c>
      <c r="CO38" s="40">
        <v>20079</v>
      </c>
      <c r="CP38" s="41">
        <f t="shared" si="38"/>
        <v>99277</v>
      </c>
      <c r="CQ38" s="37">
        <v>105421</v>
      </c>
      <c r="CR38" s="40">
        <v>14141</v>
      </c>
      <c r="CS38" s="41">
        <f t="shared" si="54"/>
        <v>91280</v>
      </c>
      <c r="CT38" s="37">
        <v>108647</v>
      </c>
      <c r="CU38" s="40">
        <v>18509</v>
      </c>
      <c r="CV38" s="41">
        <f t="shared" si="55"/>
        <v>90138</v>
      </c>
      <c r="CW38" s="37">
        <v>91007</v>
      </c>
      <c r="CX38" s="40">
        <v>15637</v>
      </c>
      <c r="CY38" s="41">
        <f t="shared" si="266"/>
        <v>75370</v>
      </c>
      <c r="CZ38" s="37">
        <v>73137</v>
      </c>
      <c r="DA38" s="40">
        <v>4270</v>
      </c>
      <c r="DB38" s="41">
        <f t="shared" si="267"/>
        <v>68867</v>
      </c>
      <c r="DC38" s="37">
        <v>79539</v>
      </c>
      <c r="DD38" s="40">
        <v>7014</v>
      </c>
      <c r="DE38" s="42">
        <f t="shared" si="268"/>
        <v>72525</v>
      </c>
    </row>
    <row r="39" spans="1:109" s="1" customFormat="1" ht="13" x14ac:dyDescent="0.25">
      <c r="A39" s="112" t="s">
        <v>61</v>
      </c>
      <c r="B39" s="123">
        <f>93280+18140</f>
        <v>111420</v>
      </c>
      <c r="C39" s="84">
        <f>82080+17880</f>
        <v>99960</v>
      </c>
      <c r="D39" s="29">
        <f t="shared" ref="D39" si="579">B39-C39</f>
        <v>11460</v>
      </c>
      <c r="E39" s="84">
        <f>69160+4660+13640+160</f>
        <v>87620</v>
      </c>
      <c r="F39" s="29">
        <f t="shared" ref="F39" si="580">B39-E39</f>
        <v>23800</v>
      </c>
      <c r="G39" s="65">
        <v>18140</v>
      </c>
      <c r="H39" s="116">
        <f t="shared" ref="H39" si="581">B39-G39</f>
        <v>93280</v>
      </c>
      <c r="I39" s="121"/>
      <c r="J39" s="80">
        <f>104891+47500</f>
        <v>152391</v>
      </c>
      <c r="K39" s="89">
        <f>91600+45520</f>
        <v>137120</v>
      </c>
      <c r="L39" s="90">
        <f t="shared" ref="L39" si="582">J39-K39</f>
        <v>15271</v>
      </c>
      <c r="M39" s="89">
        <f>79040+7700+42720+1300</f>
        <v>130760</v>
      </c>
      <c r="N39" s="90">
        <f t="shared" ref="N39" si="583">J39-M39</f>
        <v>21631</v>
      </c>
      <c r="O39" s="105">
        <v>47500</v>
      </c>
      <c r="P39" s="96">
        <f t="shared" ref="P39" si="584">J39-O39</f>
        <v>104891</v>
      </c>
      <c r="Q39" s="108"/>
      <c r="R39" s="80">
        <f>151740+27842</f>
        <v>179582</v>
      </c>
      <c r="S39" s="89">
        <f>131560+25040</f>
        <v>156600</v>
      </c>
      <c r="T39" s="90">
        <f t="shared" ref="T39" si="585">R39-S39</f>
        <v>22982</v>
      </c>
      <c r="U39" s="89">
        <f>112540+11200+21040+1960</f>
        <v>146740</v>
      </c>
      <c r="V39" s="90">
        <f t="shared" ref="V39" si="586">R39-U39</f>
        <v>32842</v>
      </c>
      <c r="W39" s="91">
        <v>27842</v>
      </c>
      <c r="X39" s="96">
        <f t="shared" ref="X39" si="587">R39-W39</f>
        <v>151740</v>
      </c>
      <c r="Y39" s="83">
        <f>142410+42838</f>
        <v>185248</v>
      </c>
      <c r="Z39" s="28">
        <f>124040+40040</f>
        <v>164080</v>
      </c>
      <c r="AA39" s="29">
        <f t="shared" ref="AA39" si="588">Y39-Z39</f>
        <v>21168</v>
      </c>
      <c r="AB39" s="28">
        <f>105800+9800+38840+2558</f>
        <v>156998</v>
      </c>
      <c r="AC39" s="29">
        <f t="shared" ref="AC39" si="589">Y39-AB39</f>
        <v>28250</v>
      </c>
      <c r="AD39" s="30">
        <v>42838</v>
      </c>
      <c r="AE39" s="31">
        <f t="shared" ref="AE39" si="590">Y39-AD39</f>
        <v>142410</v>
      </c>
      <c r="AF39" s="80">
        <v>123777</v>
      </c>
      <c r="AG39" s="71">
        <v>102361</v>
      </c>
      <c r="AH39" s="29">
        <f t="shared" ref="AH39" si="591">AF39-AG39</f>
        <v>21416</v>
      </c>
      <c r="AI39" s="28">
        <v>97096</v>
      </c>
      <c r="AJ39" s="29">
        <f t="shared" ref="AJ39" si="592">AF39-AI39</f>
        <v>26681</v>
      </c>
      <c r="AK39" s="30">
        <v>23017</v>
      </c>
      <c r="AL39" s="31">
        <f t="shared" ref="AL39" si="593">AF39-AK39</f>
        <v>100760</v>
      </c>
      <c r="AM39" s="64">
        <v>141077</v>
      </c>
      <c r="AN39" s="28">
        <v>121620</v>
      </c>
      <c r="AO39" s="29">
        <f t="shared" si="511"/>
        <v>19457</v>
      </c>
      <c r="AP39" s="28">
        <v>105684</v>
      </c>
      <c r="AQ39" s="29">
        <f t="shared" si="512"/>
        <v>35393</v>
      </c>
      <c r="AR39" s="65">
        <v>18838</v>
      </c>
      <c r="AS39" s="31">
        <f t="shared" si="513"/>
        <v>122239</v>
      </c>
      <c r="AT39" s="23">
        <v>129359</v>
      </c>
      <c r="AU39" s="19">
        <v>113560</v>
      </c>
      <c r="AV39" s="20">
        <f t="shared" si="514"/>
        <v>15799</v>
      </c>
      <c r="AW39" s="19">
        <v>96160</v>
      </c>
      <c r="AX39" s="20">
        <f t="shared" si="515"/>
        <v>33199</v>
      </c>
      <c r="AY39" s="21">
        <v>10568</v>
      </c>
      <c r="AZ39" s="22">
        <f t="shared" si="516"/>
        <v>118791</v>
      </c>
      <c r="BA39" s="23">
        <v>143642</v>
      </c>
      <c r="BB39" s="19">
        <v>117888</v>
      </c>
      <c r="BC39" s="20">
        <f t="shared" si="517"/>
        <v>25754</v>
      </c>
      <c r="BD39" s="19">
        <v>105588</v>
      </c>
      <c r="BE39" s="20">
        <f t="shared" si="518"/>
        <v>38054</v>
      </c>
      <c r="BF39" s="21">
        <v>20020</v>
      </c>
      <c r="BG39" s="22">
        <f t="shared" si="519"/>
        <v>123622</v>
      </c>
      <c r="BH39" s="23">
        <v>136059</v>
      </c>
      <c r="BI39" s="24">
        <v>118500</v>
      </c>
      <c r="BJ39" s="20">
        <f t="shared" si="520"/>
        <v>17559</v>
      </c>
      <c r="BK39" s="19">
        <v>107760</v>
      </c>
      <c r="BL39" s="20">
        <f t="shared" si="521"/>
        <v>28299</v>
      </c>
      <c r="BM39" s="21">
        <v>10180</v>
      </c>
      <c r="BN39" s="22">
        <f t="shared" si="522"/>
        <v>125879</v>
      </c>
      <c r="BO39" s="23">
        <v>105711</v>
      </c>
      <c r="BP39" s="24">
        <v>90573</v>
      </c>
      <c r="BQ39" s="20">
        <f t="shared" si="27"/>
        <v>15138</v>
      </c>
      <c r="BR39" s="24">
        <v>81852</v>
      </c>
      <c r="BS39" s="20">
        <f t="shared" si="28"/>
        <v>23859</v>
      </c>
      <c r="BT39" s="21">
        <v>15969</v>
      </c>
      <c r="BU39" s="34">
        <f t="shared" si="29"/>
        <v>89742</v>
      </c>
      <c r="BV39" s="35">
        <v>119001</v>
      </c>
      <c r="BW39" s="36">
        <v>104520</v>
      </c>
      <c r="BX39" s="37">
        <f t="shared" si="30"/>
        <v>14481</v>
      </c>
      <c r="BY39" s="36">
        <v>90580</v>
      </c>
      <c r="BZ39" s="37">
        <f t="shared" si="31"/>
        <v>28421</v>
      </c>
      <c r="CA39" s="38">
        <v>18280</v>
      </c>
      <c r="CB39" s="39">
        <f t="shared" si="32"/>
        <v>100721</v>
      </c>
      <c r="CC39" s="37">
        <v>126383</v>
      </c>
      <c r="CD39" s="37">
        <v>110357</v>
      </c>
      <c r="CE39" s="37">
        <f t="shared" si="33"/>
        <v>16026</v>
      </c>
      <c r="CF39" s="37">
        <v>94660</v>
      </c>
      <c r="CG39" s="37">
        <f t="shared" si="34"/>
        <v>31723</v>
      </c>
      <c r="CH39" s="40">
        <v>18555</v>
      </c>
      <c r="CI39" s="39">
        <f t="shared" si="35"/>
        <v>107828</v>
      </c>
      <c r="CJ39" s="37">
        <v>117377</v>
      </c>
      <c r="CK39" s="37">
        <v>105240</v>
      </c>
      <c r="CL39" s="37">
        <f t="shared" si="359"/>
        <v>12137</v>
      </c>
      <c r="CM39" s="37">
        <v>96900</v>
      </c>
      <c r="CN39" s="37">
        <f t="shared" si="360"/>
        <v>20477</v>
      </c>
      <c r="CO39" s="40">
        <v>25800</v>
      </c>
      <c r="CP39" s="41">
        <f t="shared" si="38"/>
        <v>91577</v>
      </c>
      <c r="CQ39" s="37">
        <v>103374</v>
      </c>
      <c r="CR39" s="40">
        <v>9460</v>
      </c>
      <c r="CS39" s="41">
        <f t="shared" si="54"/>
        <v>93914</v>
      </c>
      <c r="CT39" s="37">
        <v>111576</v>
      </c>
      <c r="CU39" s="40">
        <v>23076</v>
      </c>
      <c r="CV39" s="41">
        <f t="shared" si="55"/>
        <v>88500</v>
      </c>
      <c r="CW39" s="37">
        <v>86148</v>
      </c>
      <c r="CX39" s="40">
        <v>11780</v>
      </c>
      <c r="CY39" s="41">
        <f t="shared" si="266"/>
        <v>74368</v>
      </c>
      <c r="CZ39" s="37">
        <v>75177</v>
      </c>
      <c r="DA39" s="40">
        <v>5280</v>
      </c>
      <c r="DB39" s="41">
        <f t="shared" si="267"/>
        <v>69897</v>
      </c>
      <c r="DC39" s="37">
        <v>90415</v>
      </c>
      <c r="DD39" s="40">
        <v>12220</v>
      </c>
      <c r="DE39" s="42">
        <f t="shared" si="268"/>
        <v>78195</v>
      </c>
    </row>
    <row r="40" spans="1:109" s="1" customFormat="1" ht="12.5" x14ac:dyDescent="0.25">
      <c r="A40" s="112" t="s">
        <v>62</v>
      </c>
      <c r="B40" s="114"/>
      <c r="C40" s="114"/>
      <c r="D40" s="114"/>
      <c r="E40" s="114"/>
      <c r="F40" s="114"/>
      <c r="G40" s="114"/>
      <c r="H40" s="114"/>
      <c r="I40" s="121"/>
      <c r="J40" s="80">
        <f>111150+45319</f>
        <v>156469</v>
      </c>
      <c r="K40" s="89">
        <f>96520+42360</f>
        <v>138880</v>
      </c>
      <c r="L40" s="90">
        <f t="shared" ref="L40" si="594">J40-K40</f>
        <v>17589</v>
      </c>
      <c r="M40" s="89">
        <f>84960+9060+40040+2580</f>
        <v>136640</v>
      </c>
      <c r="N40" s="90">
        <f t="shared" ref="N40" si="595">J40-M40</f>
        <v>19829</v>
      </c>
      <c r="O40" s="105">
        <v>45319</v>
      </c>
      <c r="P40" s="96">
        <f t="shared" ref="P40" si="596">J40-O40</f>
        <v>111150</v>
      </c>
      <c r="Q40" s="108"/>
      <c r="R40" s="80">
        <f>144974+38020</f>
        <v>182994</v>
      </c>
      <c r="S40" s="89">
        <f>125160+34820</f>
        <v>159980</v>
      </c>
      <c r="T40" s="90">
        <f t="shared" ref="T40" si="597">R40-S40</f>
        <v>23014</v>
      </c>
      <c r="U40" s="89">
        <f>109240+11620+29380+2180</f>
        <v>152420</v>
      </c>
      <c r="V40" s="90">
        <f t="shared" ref="V40" si="598">R40-U40</f>
        <v>30574</v>
      </c>
      <c r="W40" s="91">
        <v>38020</v>
      </c>
      <c r="X40" s="96">
        <f t="shared" ref="X40" si="599">R40-W40</f>
        <v>144974</v>
      </c>
      <c r="Y40" s="83">
        <f>141280+39980</f>
        <v>181260</v>
      </c>
      <c r="Z40" s="84">
        <f>122740+38840</f>
        <v>161580</v>
      </c>
      <c r="AA40" s="29">
        <f t="shared" ref="AA40" si="600">Y40-Z40</f>
        <v>19680</v>
      </c>
      <c r="AB40" s="84">
        <f>106380+11340+37360+900</f>
        <v>155980</v>
      </c>
      <c r="AC40" s="29">
        <f t="shared" ref="AC40" si="601">Y40-AB40</f>
        <v>25280</v>
      </c>
      <c r="AD40" s="65">
        <v>39980</v>
      </c>
      <c r="AE40" s="31">
        <f t="shared" ref="AE40" si="602">Y40-AD40</f>
        <v>141280</v>
      </c>
      <c r="AF40" s="80">
        <v>125879</v>
      </c>
      <c r="AG40" s="72">
        <v>106659</v>
      </c>
      <c r="AH40" s="29">
        <f t="shared" ref="AH40" si="603">AF40-AG40</f>
        <v>19220</v>
      </c>
      <c r="AI40" s="28">
        <v>99020</v>
      </c>
      <c r="AJ40" s="29">
        <f t="shared" ref="AJ40" si="604">AF40-AI40</f>
        <v>26859</v>
      </c>
      <c r="AK40" s="30">
        <v>31979</v>
      </c>
      <c r="AL40" s="31">
        <f t="shared" ref="AL40" si="605">AF40-AK40</f>
        <v>93900</v>
      </c>
      <c r="AM40" s="64">
        <v>133340</v>
      </c>
      <c r="AN40" s="28">
        <v>114660</v>
      </c>
      <c r="AO40" s="29">
        <f t="shared" si="511"/>
        <v>18680</v>
      </c>
      <c r="AP40" s="28">
        <v>101660</v>
      </c>
      <c r="AQ40" s="29">
        <f t="shared" si="512"/>
        <v>31680</v>
      </c>
      <c r="AR40" s="65">
        <v>20460</v>
      </c>
      <c r="AS40" s="31">
        <f t="shared" si="513"/>
        <v>112880</v>
      </c>
      <c r="AT40" s="23">
        <v>136949</v>
      </c>
      <c r="AU40" s="19">
        <v>121460</v>
      </c>
      <c r="AV40" s="20">
        <f t="shared" si="514"/>
        <v>15489</v>
      </c>
      <c r="AW40" s="19">
        <v>106529</v>
      </c>
      <c r="AX40" s="20">
        <f t="shared" si="515"/>
        <v>30420</v>
      </c>
      <c r="AY40" s="21">
        <v>17529</v>
      </c>
      <c r="AZ40" s="22">
        <f t="shared" si="516"/>
        <v>119420</v>
      </c>
      <c r="BA40" s="23">
        <v>140966</v>
      </c>
      <c r="BB40" s="19">
        <v>117666</v>
      </c>
      <c r="BC40" s="20">
        <f t="shared" si="517"/>
        <v>23300</v>
      </c>
      <c r="BD40" s="19">
        <v>107406</v>
      </c>
      <c r="BE40" s="20">
        <f t="shared" si="518"/>
        <v>33560</v>
      </c>
      <c r="BF40" s="21">
        <v>10941</v>
      </c>
      <c r="BG40" s="22">
        <f t="shared" si="519"/>
        <v>130025</v>
      </c>
      <c r="BH40" s="23">
        <v>132480</v>
      </c>
      <c r="BI40" s="24">
        <v>114420</v>
      </c>
      <c r="BJ40" s="20">
        <f t="shared" si="520"/>
        <v>18060</v>
      </c>
      <c r="BK40" s="19">
        <v>102820</v>
      </c>
      <c r="BL40" s="20">
        <f t="shared" si="521"/>
        <v>29660</v>
      </c>
      <c r="BM40" s="21">
        <v>6640</v>
      </c>
      <c r="BN40" s="22">
        <f t="shared" si="522"/>
        <v>125840</v>
      </c>
      <c r="BO40" s="23">
        <v>102399</v>
      </c>
      <c r="BP40" s="24">
        <v>87120</v>
      </c>
      <c r="BQ40" s="20">
        <f t="shared" si="27"/>
        <v>15279</v>
      </c>
      <c r="BR40" s="24">
        <v>78640</v>
      </c>
      <c r="BS40" s="20">
        <f t="shared" si="28"/>
        <v>23759</v>
      </c>
      <c r="BT40" s="21">
        <v>8960</v>
      </c>
      <c r="BU40" s="34">
        <f t="shared" si="29"/>
        <v>93439</v>
      </c>
      <c r="BV40" s="35">
        <v>111481</v>
      </c>
      <c r="BW40" s="43">
        <v>96080</v>
      </c>
      <c r="BX40" s="37">
        <f t="shared" si="30"/>
        <v>15401</v>
      </c>
      <c r="BY40" s="43">
        <v>82260</v>
      </c>
      <c r="BZ40" s="37">
        <f t="shared" si="31"/>
        <v>29221</v>
      </c>
      <c r="CA40" s="38">
        <v>13340</v>
      </c>
      <c r="CB40" s="39">
        <f t="shared" si="32"/>
        <v>98141</v>
      </c>
      <c r="CC40" s="37">
        <v>124411</v>
      </c>
      <c r="CD40" s="37">
        <v>109350</v>
      </c>
      <c r="CE40" s="37">
        <f t="shared" si="33"/>
        <v>15061</v>
      </c>
      <c r="CF40" s="37">
        <v>96711</v>
      </c>
      <c r="CG40" s="37">
        <f t="shared" si="34"/>
        <v>27700</v>
      </c>
      <c r="CH40" s="40">
        <v>16618</v>
      </c>
      <c r="CI40" s="39">
        <f t="shared" si="35"/>
        <v>107793</v>
      </c>
      <c r="CJ40" s="37">
        <v>104588</v>
      </c>
      <c r="CK40" s="37">
        <v>90100</v>
      </c>
      <c r="CL40" s="37">
        <f t="shared" si="359"/>
        <v>14488</v>
      </c>
      <c r="CM40" s="37">
        <v>81110</v>
      </c>
      <c r="CN40" s="37">
        <f t="shared" si="360"/>
        <v>23478</v>
      </c>
      <c r="CO40" s="40">
        <v>14400</v>
      </c>
      <c r="CP40" s="41">
        <f t="shared" si="38"/>
        <v>90188</v>
      </c>
      <c r="CQ40" s="37">
        <v>110266</v>
      </c>
      <c r="CR40" s="40">
        <v>9447</v>
      </c>
      <c r="CS40" s="41">
        <f t="shared" si="54"/>
        <v>100819</v>
      </c>
      <c r="CT40" s="37">
        <v>107399</v>
      </c>
      <c r="CU40" s="40">
        <v>18899</v>
      </c>
      <c r="CV40" s="41">
        <f t="shared" si="55"/>
        <v>88500</v>
      </c>
      <c r="CW40" s="37">
        <v>77277</v>
      </c>
      <c r="CX40" s="40">
        <v>7898</v>
      </c>
      <c r="CY40" s="41">
        <f t="shared" si="266"/>
        <v>69379</v>
      </c>
      <c r="CZ40" s="37">
        <v>73825</v>
      </c>
      <c r="DA40" s="40">
        <v>4275</v>
      </c>
      <c r="DB40" s="41">
        <f t="shared" si="267"/>
        <v>69550</v>
      </c>
      <c r="DC40" s="37">
        <v>93740</v>
      </c>
      <c r="DD40" s="40">
        <v>12180</v>
      </c>
      <c r="DE40" s="42">
        <f t="shared" si="268"/>
        <v>81560</v>
      </c>
    </row>
    <row r="41" spans="1:109" s="1" customFormat="1" ht="12.5" x14ac:dyDescent="0.25">
      <c r="A41" s="112" t="s">
        <v>63</v>
      </c>
      <c r="B41" s="114"/>
      <c r="C41" s="114"/>
      <c r="D41" s="114"/>
      <c r="E41" s="114"/>
      <c r="F41" s="114"/>
      <c r="G41" s="114"/>
      <c r="H41" s="114"/>
      <c r="I41" s="121"/>
      <c r="J41" s="80">
        <f>101897+47236</f>
        <v>149133</v>
      </c>
      <c r="K41" s="89">
        <f>88520+44760</f>
        <v>133280</v>
      </c>
      <c r="L41" s="90">
        <f t="shared" ref="L41" si="606">J41-K41</f>
        <v>15853</v>
      </c>
      <c r="M41" s="89">
        <f>77920+7840+42800+2356</f>
        <v>130916</v>
      </c>
      <c r="N41" s="90">
        <f t="shared" ref="N41" si="607">J41-M41</f>
        <v>18217</v>
      </c>
      <c r="O41" s="105">
        <v>47236</v>
      </c>
      <c r="P41" s="96">
        <f t="shared" ref="P41" si="608">J41-O41</f>
        <v>101897</v>
      </c>
      <c r="Q41" s="108"/>
      <c r="R41" s="80">
        <f>144640+46960</f>
        <v>191600</v>
      </c>
      <c r="S41" s="89">
        <f>126080+43240</f>
        <v>169320</v>
      </c>
      <c r="T41" s="90">
        <f t="shared" ref="T41" si="609">R41-S41</f>
        <v>22280</v>
      </c>
      <c r="U41" s="89">
        <f>110160+10100+36920+2860</f>
        <v>160040</v>
      </c>
      <c r="V41" s="90">
        <f t="shared" ref="V41" si="610">R41-U41</f>
        <v>31560</v>
      </c>
      <c r="W41" s="91">
        <v>46960</v>
      </c>
      <c r="X41" s="96">
        <f t="shared" ref="X41" si="611">R41-W41</f>
        <v>144640</v>
      </c>
      <c r="Y41" s="83">
        <f>128480+54940</f>
        <v>183420</v>
      </c>
      <c r="Z41" s="84">
        <f>112720+52720</f>
        <v>165440</v>
      </c>
      <c r="AA41" s="29">
        <f t="shared" ref="AA41" si="612">Y41-Z41</f>
        <v>17980</v>
      </c>
      <c r="AB41" s="84">
        <f>97240+8760+51240+1800</f>
        <v>159040</v>
      </c>
      <c r="AC41" s="29">
        <f t="shared" ref="AC41" si="613">Y41-AB41</f>
        <v>24380</v>
      </c>
      <c r="AD41" s="65">
        <v>54940</v>
      </c>
      <c r="AE41" s="31">
        <f t="shared" ref="AE41" si="614">Y41-AD41</f>
        <v>128480</v>
      </c>
      <c r="AF41" s="80">
        <v>127079</v>
      </c>
      <c r="AG41" s="72">
        <v>107220</v>
      </c>
      <c r="AH41" s="29">
        <f t="shared" ref="AH41" si="615">AF41-AG41</f>
        <v>19859</v>
      </c>
      <c r="AI41" s="28">
        <v>102740</v>
      </c>
      <c r="AJ41" s="29">
        <f t="shared" ref="AJ41" si="616">AF41-AI41</f>
        <v>24339</v>
      </c>
      <c r="AK41" s="30">
        <v>23378</v>
      </c>
      <c r="AL41" s="31">
        <f t="shared" ref="AL41" si="617">AF41-AK41</f>
        <v>103701</v>
      </c>
      <c r="AM41" s="64">
        <v>131300</v>
      </c>
      <c r="AN41" s="28">
        <v>113860</v>
      </c>
      <c r="AO41" s="29">
        <f t="shared" si="511"/>
        <v>17440</v>
      </c>
      <c r="AP41" s="28">
        <v>100680</v>
      </c>
      <c r="AQ41" s="29">
        <f t="shared" si="512"/>
        <v>30620</v>
      </c>
      <c r="AR41" s="65">
        <v>19620</v>
      </c>
      <c r="AS41" s="31">
        <f t="shared" si="513"/>
        <v>111680</v>
      </c>
      <c r="AT41" s="23">
        <v>139733</v>
      </c>
      <c r="AU41" s="19">
        <v>122800</v>
      </c>
      <c r="AV41" s="20">
        <f t="shared" si="514"/>
        <v>16933</v>
      </c>
      <c r="AW41" s="19">
        <v>105670</v>
      </c>
      <c r="AX41" s="20">
        <f t="shared" si="515"/>
        <v>34063</v>
      </c>
      <c r="AY41" s="21">
        <v>17240</v>
      </c>
      <c r="AZ41" s="22">
        <f t="shared" si="516"/>
        <v>122493</v>
      </c>
      <c r="BA41" s="23">
        <v>132310</v>
      </c>
      <c r="BB41" s="19">
        <v>112780</v>
      </c>
      <c r="BC41" s="20">
        <f t="shared" si="517"/>
        <v>19530</v>
      </c>
      <c r="BD41" s="19">
        <v>97850</v>
      </c>
      <c r="BE41" s="20">
        <f t="shared" si="518"/>
        <v>34460</v>
      </c>
      <c r="BF41" s="21">
        <v>14410</v>
      </c>
      <c r="BG41" s="22">
        <f t="shared" si="519"/>
        <v>117900</v>
      </c>
      <c r="BH41" s="23">
        <v>129890</v>
      </c>
      <c r="BI41" s="24">
        <v>112720</v>
      </c>
      <c r="BJ41" s="20">
        <f t="shared" si="520"/>
        <v>17170</v>
      </c>
      <c r="BK41" s="19">
        <v>102100</v>
      </c>
      <c r="BL41" s="20">
        <f t="shared" si="521"/>
        <v>27790</v>
      </c>
      <c r="BM41" s="21">
        <v>4560</v>
      </c>
      <c r="BN41" s="22">
        <f t="shared" si="522"/>
        <v>125330</v>
      </c>
      <c r="BO41" s="23">
        <v>93697</v>
      </c>
      <c r="BP41" s="24">
        <v>81020</v>
      </c>
      <c r="BQ41" s="20">
        <f t="shared" si="27"/>
        <v>12677</v>
      </c>
      <c r="BR41" s="24">
        <v>72999</v>
      </c>
      <c r="BS41" s="20">
        <f t="shared" si="28"/>
        <v>20698</v>
      </c>
      <c r="BT41" s="21">
        <v>6740</v>
      </c>
      <c r="BU41" s="34">
        <f t="shared" si="29"/>
        <v>86957</v>
      </c>
      <c r="BV41" s="35">
        <v>100883</v>
      </c>
      <c r="BW41" s="43">
        <v>88104</v>
      </c>
      <c r="BX41" s="37">
        <f t="shared" si="30"/>
        <v>12779</v>
      </c>
      <c r="BY41" s="43">
        <v>76804</v>
      </c>
      <c r="BZ41" s="37">
        <f t="shared" si="31"/>
        <v>24079</v>
      </c>
      <c r="CA41" s="38">
        <v>12580</v>
      </c>
      <c r="CB41" s="39">
        <f t="shared" si="32"/>
        <v>88303</v>
      </c>
      <c r="CC41" s="37">
        <v>139840</v>
      </c>
      <c r="CD41" s="37">
        <v>124200</v>
      </c>
      <c r="CE41" s="37">
        <f t="shared" si="33"/>
        <v>15640</v>
      </c>
      <c r="CF41" s="37">
        <v>109140</v>
      </c>
      <c r="CG41" s="37">
        <f t="shared" si="34"/>
        <v>30700</v>
      </c>
      <c r="CH41" s="40">
        <v>32500</v>
      </c>
      <c r="CI41" s="39">
        <f t="shared" si="35"/>
        <v>107340</v>
      </c>
      <c r="CJ41" s="37">
        <v>105738</v>
      </c>
      <c r="CK41" s="37">
        <v>91899</v>
      </c>
      <c r="CL41" s="37">
        <f t="shared" si="359"/>
        <v>13839</v>
      </c>
      <c r="CM41" s="37">
        <v>84560</v>
      </c>
      <c r="CN41" s="37">
        <f t="shared" si="360"/>
        <v>21178</v>
      </c>
      <c r="CO41" s="40">
        <v>14158</v>
      </c>
      <c r="CP41" s="41">
        <v>91580</v>
      </c>
      <c r="CQ41" s="37">
        <v>112725</v>
      </c>
      <c r="CR41" s="40">
        <v>17381</v>
      </c>
      <c r="CS41" s="41">
        <f t="shared" si="54"/>
        <v>95344</v>
      </c>
      <c r="CT41" s="37">
        <v>108159</v>
      </c>
      <c r="CU41" s="40">
        <v>15439</v>
      </c>
      <c r="CV41" s="41">
        <f t="shared" si="55"/>
        <v>92720</v>
      </c>
      <c r="CW41" s="37">
        <v>81560</v>
      </c>
      <c r="CX41" s="40">
        <v>8680</v>
      </c>
      <c r="CY41" s="41">
        <f t="shared" si="266"/>
        <v>72880</v>
      </c>
      <c r="CZ41" s="37">
        <v>77529</v>
      </c>
      <c r="DA41" s="40">
        <v>11390</v>
      </c>
      <c r="DB41" s="41">
        <f t="shared" si="267"/>
        <v>66139</v>
      </c>
      <c r="DC41" s="37">
        <v>112902</v>
      </c>
      <c r="DD41" s="40">
        <v>15820</v>
      </c>
      <c r="DE41" s="42">
        <f t="shared" si="268"/>
        <v>97082</v>
      </c>
    </row>
    <row r="42" spans="1:109" s="1" customFormat="1" ht="12.5" x14ac:dyDescent="0.25">
      <c r="A42" s="112" t="s">
        <v>64</v>
      </c>
      <c r="B42" s="114"/>
      <c r="C42" s="114"/>
      <c r="D42" s="114"/>
      <c r="E42" s="114"/>
      <c r="F42" s="114"/>
      <c r="G42" s="114"/>
      <c r="H42" s="114"/>
      <c r="I42" s="121"/>
      <c r="J42" s="80">
        <f>115020+36620</f>
        <v>151640</v>
      </c>
      <c r="K42" s="89">
        <f>100400+35200</f>
        <v>135600</v>
      </c>
      <c r="L42" s="90">
        <f t="shared" ref="L42" si="618">J42-K42</f>
        <v>16040</v>
      </c>
      <c r="M42" s="89">
        <f>87160+8200+33040+960</f>
        <v>129360</v>
      </c>
      <c r="N42" s="90">
        <f t="shared" ref="N42" si="619">J42-M42</f>
        <v>22280</v>
      </c>
      <c r="O42" s="105">
        <v>36620</v>
      </c>
      <c r="P42" s="96">
        <f t="shared" ref="P42" si="620">J42-O42</f>
        <v>115020</v>
      </c>
      <c r="Q42" s="108"/>
      <c r="R42" s="80">
        <f>149430+50020</f>
        <v>199450</v>
      </c>
      <c r="S42" s="89">
        <f>130650+46420</f>
        <v>177070</v>
      </c>
      <c r="T42" s="90">
        <f t="shared" ref="T42" si="621">R42-S42</f>
        <v>22380</v>
      </c>
      <c r="U42" s="89">
        <f>116500+10960+39060+2280</f>
        <v>168800</v>
      </c>
      <c r="V42" s="90">
        <f t="shared" ref="V42" si="622">R42-U42</f>
        <v>30650</v>
      </c>
      <c r="W42" s="91">
        <v>50020</v>
      </c>
      <c r="X42" s="96">
        <f t="shared" ref="X42" si="623">R42-W42</f>
        <v>149430</v>
      </c>
      <c r="Y42" s="83">
        <f>148580+32180</f>
        <v>180760</v>
      </c>
      <c r="Z42" s="84">
        <f>132040+30480</f>
        <v>162520</v>
      </c>
      <c r="AA42" s="29">
        <f t="shared" ref="AA42" si="624">Y42-Z42</f>
        <v>18240</v>
      </c>
      <c r="AB42" s="84">
        <f>114040+8720+29080+1400</f>
        <v>153240</v>
      </c>
      <c r="AC42" s="29">
        <f t="shared" ref="AC42" si="625">Y42-AB42</f>
        <v>27520</v>
      </c>
      <c r="AD42" s="65">
        <v>32180</v>
      </c>
      <c r="AE42" s="31">
        <f t="shared" ref="AE42" si="626">Y42-AD42</f>
        <v>148580</v>
      </c>
      <c r="AF42" s="80">
        <v>133643</v>
      </c>
      <c r="AG42" s="72">
        <v>112040</v>
      </c>
      <c r="AH42" s="29">
        <f t="shared" ref="AH42" si="627">AF42-AG42</f>
        <v>21603</v>
      </c>
      <c r="AI42" s="28">
        <v>103045</v>
      </c>
      <c r="AJ42" s="29">
        <f t="shared" ref="AJ42" si="628">AF42-AI42</f>
        <v>30598</v>
      </c>
      <c r="AK42" s="30">
        <v>16165</v>
      </c>
      <c r="AL42" s="31">
        <f t="shared" ref="AL42" si="629">AF42-AK42</f>
        <v>117478</v>
      </c>
      <c r="AM42" s="64">
        <v>136842</v>
      </c>
      <c r="AN42" s="28">
        <v>118621</v>
      </c>
      <c r="AO42" s="29">
        <f t="shared" si="511"/>
        <v>18221</v>
      </c>
      <c r="AP42" s="28">
        <v>106804</v>
      </c>
      <c r="AQ42" s="29">
        <f t="shared" si="512"/>
        <v>30038</v>
      </c>
      <c r="AR42" s="65">
        <v>17364</v>
      </c>
      <c r="AS42" s="31">
        <f t="shared" si="513"/>
        <v>119478</v>
      </c>
      <c r="AT42" s="23">
        <v>134918</v>
      </c>
      <c r="AU42" s="19">
        <v>119579</v>
      </c>
      <c r="AV42" s="20">
        <f t="shared" si="514"/>
        <v>15339</v>
      </c>
      <c r="AW42" s="19">
        <v>105200</v>
      </c>
      <c r="AX42" s="20">
        <f t="shared" si="515"/>
        <v>29718</v>
      </c>
      <c r="AY42" s="21">
        <v>11580</v>
      </c>
      <c r="AZ42" s="22">
        <f t="shared" si="516"/>
        <v>123338</v>
      </c>
      <c r="BA42" s="23">
        <v>136599</v>
      </c>
      <c r="BB42" s="19">
        <v>116220</v>
      </c>
      <c r="BC42" s="20">
        <f t="shared" si="517"/>
        <v>20379</v>
      </c>
      <c r="BD42" s="19">
        <v>104160</v>
      </c>
      <c r="BE42" s="20">
        <f t="shared" si="518"/>
        <v>32439</v>
      </c>
      <c r="BF42" s="21">
        <v>13079</v>
      </c>
      <c r="BG42" s="22">
        <f t="shared" si="519"/>
        <v>123520</v>
      </c>
      <c r="BH42" s="23">
        <v>137560</v>
      </c>
      <c r="BI42" s="24">
        <v>117160</v>
      </c>
      <c r="BJ42" s="20">
        <f t="shared" si="520"/>
        <v>20400</v>
      </c>
      <c r="BK42" s="19">
        <v>106220</v>
      </c>
      <c r="BL42" s="20">
        <f t="shared" si="521"/>
        <v>31340</v>
      </c>
      <c r="BM42" s="21">
        <v>9840</v>
      </c>
      <c r="BN42" s="22">
        <f t="shared" si="522"/>
        <v>127720</v>
      </c>
      <c r="BO42" s="23">
        <v>100438</v>
      </c>
      <c r="BP42" s="24">
        <v>85241</v>
      </c>
      <c r="BQ42" s="20">
        <f t="shared" si="27"/>
        <v>15197</v>
      </c>
      <c r="BR42" s="24">
        <v>77621</v>
      </c>
      <c r="BS42" s="20">
        <f t="shared" si="28"/>
        <v>22817</v>
      </c>
      <c r="BT42" s="21">
        <v>8820</v>
      </c>
      <c r="BU42" s="34">
        <f t="shared" si="29"/>
        <v>91618</v>
      </c>
      <c r="BV42" s="35">
        <v>107818</v>
      </c>
      <c r="BW42" s="43">
        <v>93220</v>
      </c>
      <c r="BX42" s="37">
        <f t="shared" si="30"/>
        <v>14598</v>
      </c>
      <c r="BY42" s="43">
        <v>86420</v>
      </c>
      <c r="BZ42" s="37">
        <f t="shared" si="31"/>
        <v>21398</v>
      </c>
      <c r="CA42" s="38">
        <v>10240</v>
      </c>
      <c r="CB42" s="39">
        <f t="shared" si="32"/>
        <v>97578</v>
      </c>
      <c r="CC42" s="37">
        <v>135257</v>
      </c>
      <c r="CD42" s="37">
        <v>119338</v>
      </c>
      <c r="CE42" s="37">
        <f t="shared" si="33"/>
        <v>15919</v>
      </c>
      <c r="CF42" s="37">
        <v>104320</v>
      </c>
      <c r="CG42" s="37">
        <f t="shared" si="34"/>
        <v>30937</v>
      </c>
      <c r="CH42" s="40">
        <v>22277</v>
      </c>
      <c r="CI42" s="39">
        <f t="shared" si="35"/>
        <v>112980</v>
      </c>
      <c r="CJ42" s="37">
        <v>107040</v>
      </c>
      <c r="CK42" s="37">
        <v>96880</v>
      </c>
      <c r="CL42" s="37">
        <f t="shared" si="359"/>
        <v>10160</v>
      </c>
      <c r="CM42" s="37">
        <v>83980</v>
      </c>
      <c r="CN42" s="37">
        <f t="shared" si="360"/>
        <v>23060</v>
      </c>
      <c r="CO42" s="40">
        <v>20460</v>
      </c>
      <c r="CP42" s="41">
        <f t="shared" si="38"/>
        <v>86580</v>
      </c>
      <c r="CQ42" s="37">
        <v>113928</v>
      </c>
      <c r="CR42" s="40">
        <v>13020</v>
      </c>
      <c r="CS42" s="41">
        <f t="shared" si="54"/>
        <v>100908</v>
      </c>
      <c r="CT42" s="37">
        <v>116278</v>
      </c>
      <c r="CU42" s="40">
        <v>26779</v>
      </c>
      <c r="CV42" s="41">
        <f t="shared" si="55"/>
        <v>89499</v>
      </c>
      <c r="CW42" s="37">
        <v>95058</v>
      </c>
      <c r="CX42" s="40">
        <v>13058</v>
      </c>
      <c r="CY42" s="41">
        <f t="shared" si="266"/>
        <v>82000</v>
      </c>
      <c r="CZ42" s="37">
        <v>86747</v>
      </c>
      <c r="DA42" s="40">
        <v>7600</v>
      </c>
      <c r="DB42" s="41">
        <f t="shared" si="267"/>
        <v>79147</v>
      </c>
      <c r="DC42" s="37">
        <v>121199</v>
      </c>
      <c r="DD42" s="40">
        <v>23500</v>
      </c>
      <c r="DE42" s="42">
        <f t="shared" si="268"/>
        <v>97699</v>
      </c>
    </row>
    <row r="43" spans="1:109" s="1" customFormat="1" ht="12.5" x14ac:dyDescent="0.25">
      <c r="A43" s="112" t="s">
        <v>65</v>
      </c>
      <c r="B43" s="114"/>
      <c r="C43" s="114"/>
      <c r="D43" s="114"/>
      <c r="E43" s="114"/>
      <c r="F43" s="114"/>
      <c r="G43" s="114"/>
      <c r="H43" s="114"/>
      <c r="I43" s="121"/>
      <c r="J43" s="80">
        <f>112378+45609</f>
        <v>157987</v>
      </c>
      <c r="K43" s="89">
        <f>97519+43520</f>
        <v>141039</v>
      </c>
      <c r="L43" s="90">
        <f t="shared" ref="L43" si="630">J43-K43</f>
        <v>16948</v>
      </c>
      <c r="M43" s="89">
        <f>85520+8200+41080+1740</f>
        <v>136540</v>
      </c>
      <c r="N43" s="90">
        <f t="shared" ref="N43" si="631">J43-M43</f>
        <v>21447</v>
      </c>
      <c r="O43" s="105">
        <v>45609</v>
      </c>
      <c r="P43" s="96">
        <f t="shared" ref="P43" si="632">J43-O43</f>
        <v>112378</v>
      </c>
      <c r="Q43" s="108"/>
      <c r="R43" s="80">
        <f>145200+52280</f>
        <v>197480</v>
      </c>
      <c r="S43" s="89">
        <f>126800+49420</f>
        <v>176220</v>
      </c>
      <c r="T43" s="90">
        <f t="shared" ref="T43" si="633">R43-S43</f>
        <v>21260</v>
      </c>
      <c r="U43" s="89">
        <f>113440+10900+44900+1660</f>
        <v>170900</v>
      </c>
      <c r="V43" s="90">
        <f t="shared" ref="V43" si="634">R43-U43</f>
        <v>26580</v>
      </c>
      <c r="W43" s="91">
        <v>52280</v>
      </c>
      <c r="X43" s="96">
        <f t="shared" ref="X43" si="635">R43-W43</f>
        <v>145200</v>
      </c>
      <c r="Y43" s="83">
        <f>144740+39280</f>
        <v>184020</v>
      </c>
      <c r="Z43" s="84">
        <f>127400+38200</f>
        <v>165600</v>
      </c>
      <c r="AA43" s="29">
        <f t="shared" ref="AA43" si="636">Y43-Z43</f>
        <v>18420</v>
      </c>
      <c r="AB43" s="84">
        <f>110880+9080+3700+680</f>
        <v>124340</v>
      </c>
      <c r="AC43" s="29">
        <f t="shared" ref="AC43" si="637">Y43-AB43</f>
        <v>59680</v>
      </c>
      <c r="AD43" s="65">
        <v>39280</v>
      </c>
      <c r="AE43" s="31">
        <f t="shared" ref="AE43" si="638">Y43-AD43</f>
        <v>144740</v>
      </c>
      <c r="AF43" s="80">
        <v>145473</v>
      </c>
      <c r="AG43" s="72">
        <v>122959</v>
      </c>
      <c r="AH43" s="29">
        <f t="shared" ref="AH43" si="639">AF43-AG43</f>
        <v>22514</v>
      </c>
      <c r="AI43" s="28">
        <v>112080</v>
      </c>
      <c r="AJ43" s="29">
        <f t="shared" ref="AJ43" si="640">AF43-AI43</f>
        <v>33393</v>
      </c>
      <c r="AK43" s="30">
        <v>21879</v>
      </c>
      <c r="AL43" s="31">
        <f t="shared" ref="AL43" si="641">AF43-AK43</f>
        <v>123594</v>
      </c>
      <c r="AM43" s="64">
        <v>143193</v>
      </c>
      <c r="AN43" s="28">
        <v>124740</v>
      </c>
      <c r="AO43" s="29">
        <f t="shared" si="511"/>
        <v>18453</v>
      </c>
      <c r="AP43" s="28">
        <v>111813</v>
      </c>
      <c r="AQ43" s="29">
        <f t="shared" si="512"/>
        <v>31380</v>
      </c>
      <c r="AR43" s="65">
        <v>14940</v>
      </c>
      <c r="AS43" s="31">
        <f t="shared" si="513"/>
        <v>128253</v>
      </c>
      <c r="AT43" s="23">
        <v>139700</v>
      </c>
      <c r="AU43" s="19">
        <v>122740</v>
      </c>
      <c r="AV43" s="20">
        <f t="shared" si="514"/>
        <v>16960</v>
      </c>
      <c r="AW43" s="19">
        <v>110180</v>
      </c>
      <c r="AX43" s="20">
        <f t="shared" si="515"/>
        <v>29520</v>
      </c>
      <c r="AY43" s="21">
        <v>11540</v>
      </c>
      <c r="AZ43" s="22">
        <f t="shared" si="516"/>
        <v>128160</v>
      </c>
      <c r="BA43" s="23">
        <v>140880</v>
      </c>
      <c r="BB43" s="19">
        <v>118660</v>
      </c>
      <c r="BC43" s="20">
        <f t="shared" si="517"/>
        <v>22220</v>
      </c>
      <c r="BD43" s="19">
        <v>106120</v>
      </c>
      <c r="BE43" s="20">
        <f t="shared" si="518"/>
        <v>34760</v>
      </c>
      <c r="BF43" s="21">
        <v>9220</v>
      </c>
      <c r="BG43" s="22">
        <f t="shared" si="519"/>
        <v>131660</v>
      </c>
      <c r="BH43" s="23">
        <v>147380</v>
      </c>
      <c r="BI43" s="24">
        <v>124706</v>
      </c>
      <c r="BJ43" s="20">
        <f t="shared" si="520"/>
        <v>22674</v>
      </c>
      <c r="BK43" s="19">
        <v>112361</v>
      </c>
      <c r="BL43" s="20">
        <f t="shared" si="521"/>
        <v>35019</v>
      </c>
      <c r="BM43" s="21">
        <v>11340</v>
      </c>
      <c r="BN43" s="22">
        <f t="shared" si="522"/>
        <v>136040</v>
      </c>
      <c r="BO43" s="23">
        <v>113860</v>
      </c>
      <c r="BP43" s="24">
        <v>93440</v>
      </c>
      <c r="BQ43" s="20">
        <f t="shared" si="27"/>
        <v>20420</v>
      </c>
      <c r="BR43" s="24">
        <v>89280</v>
      </c>
      <c r="BS43" s="20">
        <f t="shared" si="28"/>
        <v>24580</v>
      </c>
      <c r="BT43" s="21">
        <v>11420</v>
      </c>
      <c r="BU43" s="34">
        <f t="shared" si="29"/>
        <v>102440</v>
      </c>
      <c r="BV43" s="35">
        <v>118170</v>
      </c>
      <c r="BW43" s="43">
        <v>103800</v>
      </c>
      <c r="BX43" s="37">
        <f t="shared" si="30"/>
        <v>14370</v>
      </c>
      <c r="BY43" s="43">
        <v>94500</v>
      </c>
      <c r="BZ43" s="37">
        <f t="shared" si="31"/>
        <v>23670</v>
      </c>
      <c r="CA43" s="38">
        <v>12900</v>
      </c>
      <c r="CB43" s="39">
        <f t="shared" si="32"/>
        <v>105270</v>
      </c>
      <c r="CC43" s="37">
        <v>137989</v>
      </c>
      <c r="CD43" s="37">
        <v>121060</v>
      </c>
      <c r="CE43" s="37">
        <f t="shared" si="33"/>
        <v>16929</v>
      </c>
      <c r="CF43" s="37">
        <v>108184</v>
      </c>
      <c r="CG43" s="37">
        <f t="shared" si="34"/>
        <v>29805</v>
      </c>
      <c r="CH43" s="40">
        <v>21700</v>
      </c>
      <c r="CI43" s="39">
        <f t="shared" si="35"/>
        <v>116289</v>
      </c>
      <c r="CJ43" s="37">
        <v>118979</v>
      </c>
      <c r="CK43" s="37">
        <v>105440</v>
      </c>
      <c r="CL43" s="37">
        <f t="shared" si="359"/>
        <v>13539</v>
      </c>
      <c r="CM43" s="37">
        <v>92739</v>
      </c>
      <c r="CN43" s="37">
        <f t="shared" si="360"/>
        <v>26240</v>
      </c>
      <c r="CO43" s="40">
        <v>14120</v>
      </c>
      <c r="CP43" s="41">
        <f t="shared" si="38"/>
        <v>104859</v>
      </c>
      <c r="CQ43" s="37">
        <v>118635</v>
      </c>
      <c r="CR43" s="40">
        <v>17379</v>
      </c>
      <c r="CS43" s="41">
        <f t="shared" si="54"/>
        <v>101256</v>
      </c>
      <c r="CT43" s="37">
        <v>121357</v>
      </c>
      <c r="CU43" s="40">
        <v>26079</v>
      </c>
      <c r="CV43" s="41">
        <f t="shared" si="55"/>
        <v>95278</v>
      </c>
      <c r="CW43" s="37">
        <v>100198</v>
      </c>
      <c r="CX43" s="40">
        <v>11539</v>
      </c>
      <c r="CY43" s="41">
        <v>88659</v>
      </c>
      <c r="CZ43" s="37">
        <v>91451</v>
      </c>
      <c r="DA43" s="40">
        <v>7781</v>
      </c>
      <c r="DB43" s="41">
        <f t="shared" si="267"/>
        <v>83670</v>
      </c>
      <c r="DC43" s="37">
        <v>108165</v>
      </c>
      <c r="DD43" s="40">
        <v>11480</v>
      </c>
      <c r="DE43" s="42">
        <f t="shared" si="268"/>
        <v>96685</v>
      </c>
    </row>
    <row r="44" spans="1:109" s="1" customFormat="1" ht="12.5" x14ac:dyDescent="0.25">
      <c r="A44" s="112" t="s">
        <v>66</v>
      </c>
      <c r="B44" s="114"/>
      <c r="C44" s="114"/>
      <c r="D44" s="114"/>
      <c r="E44" s="114"/>
      <c r="F44" s="114"/>
      <c r="G44" s="114"/>
      <c r="H44" s="114"/>
      <c r="I44" s="121"/>
      <c r="J44" s="80">
        <f>117000+42040</f>
        <v>159040</v>
      </c>
      <c r="K44" s="89">
        <f>101440+40480</f>
        <v>141920</v>
      </c>
      <c r="L44" s="90">
        <f t="shared" ref="L44" si="642">J44-K44</f>
        <v>17120</v>
      </c>
      <c r="M44" s="89">
        <f>88320+10200+38840+1420</f>
        <v>138780</v>
      </c>
      <c r="N44" s="90">
        <f t="shared" ref="N44" si="643">J44-M44</f>
        <v>20260</v>
      </c>
      <c r="O44" s="105">
        <v>42040</v>
      </c>
      <c r="P44" s="96">
        <f t="shared" ref="P44" si="644">J44-O44</f>
        <v>117000</v>
      </c>
      <c r="Q44" s="108"/>
      <c r="R44" s="80">
        <f>152660+55540</f>
        <v>208200</v>
      </c>
      <c r="S44" s="89">
        <f>133640+52000</f>
        <v>185640</v>
      </c>
      <c r="T44" s="90">
        <f t="shared" ref="T44" si="645">R44-S44</f>
        <v>22560</v>
      </c>
      <c r="U44" s="89">
        <f>118840+11760+45080+2720</f>
        <v>178400</v>
      </c>
      <c r="V44" s="90">
        <f t="shared" ref="V44" si="646">R44-U44</f>
        <v>29800</v>
      </c>
      <c r="W44" s="91">
        <v>55540</v>
      </c>
      <c r="X44" s="96">
        <f t="shared" ref="X44" si="647">R44-W44</f>
        <v>152660</v>
      </c>
      <c r="Y44" s="83">
        <f>153017+41359</f>
        <v>194376</v>
      </c>
      <c r="Z44" s="84">
        <f>135120+40200</f>
        <v>175320</v>
      </c>
      <c r="AA44" s="29">
        <f t="shared" ref="AA44" si="648">Y44-Z44</f>
        <v>19056</v>
      </c>
      <c r="AB44" s="84">
        <f>115040+9157+39760+1059</f>
        <v>165016</v>
      </c>
      <c r="AC44" s="29">
        <f t="shared" ref="AC44" si="649">Y44-AB44</f>
        <v>29360</v>
      </c>
      <c r="AD44" s="65">
        <v>41359</v>
      </c>
      <c r="AE44" s="31">
        <f t="shared" ref="AE44" si="650">Y44-AD44</f>
        <v>153017</v>
      </c>
      <c r="AF44" s="80">
        <v>151420</v>
      </c>
      <c r="AG44" s="72">
        <v>127620</v>
      </c>
      <c r="AH44" s="29">
        <f t="shared" ref="AH44" si="651">AF44-AG44</f>
        <v>23800</v>
      </c>
      <c r="AI44" s="28">
        <v>116960</v>
      </c>
      <c r="AJ44" s="29">
        <f t="shared" ref="AJ44" si="652">AF44-AI44</f>
        <v>34460</v>
      </c>
      <c r="AK44" s="30">
        <v>21520</v>
      </c>
      <c r="AL44" s="31">
        <f t="shared" ref="AL44" si="653">AF44-AK44</f>
        <v>129900</v>
      </c>
      <c r="AM44" s="64">
        <v>148841</v>
      </c>
      <c r="AN44" s="28">
        <v>127280</v>
      </c>
      <c r="AO44" s="29">
        <f t="shared" si="511"/>
        <v>21561</v>
      </c>
      <c r="AP44" s="28">
        <v>111981</v>
      </c>
      <c r="AQ44" s="29">
        <f t="shared" si="512"/>
        <v>36860</v>
      </c>
      <c r="AR44" s="65">
        <v>14700</v>
      </c>
      <c r="AS44" s="31">
        <f t="shared" si="513"/>
        <v>134141</v>
      </c>
      <c r="AT44" s="23">
        <v>147279</v>
      </c>
      <c r="AU44" s="19">
        <v>127220</v>
      </c>
      <c r="AV44" s="20">
        <f t="shared" si="514"/>
        <v>20059</v>
      </c>
      <c r="AW44" s="19">
        <v>115140</v>
      </c>
      <c r="AX44" s="20">
        <f t="shared" si="515"/>
        <v>32139</v>
      </c>
      <c r="AY44" s="21">
        <v>11040</v>
      </c>
      <c r="AZ44" s="22">
        <f t="shared" si="516"/>
        <v>136239</v>
      </c>
      <c r="BA44" s="23">
        <v>160311</v>
      </c>
      <c r="BB44" s="19">
        <v>134981</v>
      </c>
      <c r="BC44" s="20">
        <f t="shared" si="517"/>
        <v>25330</v>
      </c>
      <c r="BD44" s="19">
        <v>121953</v>
      </c>
      <c r="BE44" s="20">
        <f t="shared" si="518"/>
        <v>38358</v>
      </c>
      <c r="BF44" s="21">
        <v>11200</v>
      </c>
      <c r="BG44" s="22">
        <f t="shared" si="519"/>
        <v>149111</v>
      </c>
      <c r="BH44" s="23">
        <v>143755</v>
      </c>
      <c r="BI44" s="24">
        <v>122240</v>
      </c>
      <c r="BJ44" s="20">
        <f t="shared" si="520"/>
        <v>21515</v>
      </c>
      <c r="BK44" s="19">
        <v>109117</v>
      </c>
      <c r="BL44" s="20">
        <f t="shared" si="521"/>
        <v>34638</v>
      </c>
      <c r="BM44" s="21">
        <v>5499</v>
      </c>
      <c r="BN44" s="22">
        <f t="shared" si="522"/>
        <v>138256</v>
      </c>
      <c r="BO44" s="23">
        <v>113933</v>
      </c>
      <c r="BP44" s="24">
        <v>97032</v>
      </c>
      <c r="BQ44" s="20">
        <f t="shared" si="27"/>
        <v>16901</v>
      </c>
      <c r="BR44" s="24">
        <v>90914</v>
      </c>
      <c r="BS44" s="20">
        <f t="shared" si="28"/>
        <v>23019</v>
      </c>
      <c r="BT44" s="21">
        <v>9620</v>
      </c>
      <c r="BU44" s="34">
        <f t="shared" si="29"/>
        <v>104313</v>
      </c>
      <c r="BV44" s="35">
        <v>120677</v>
      </c>
      <c r="BW44" s="43">
        <v>105200</v>
      </c>
      <c r="BX44" s="37">
        <f t="shared" si="30"/>
        <v>15477</v>
      </c>
      <c r="BY44" s="43">
        <v>99940</v>
      </c>
      <c r="BZ44" s="37">
        <f t="shared" si="31"/>
        <v>20737</v>
      </c>
      <c r="CA44" s="38">
        <v>9480</v>
      </c>
      <c r="CB44" s="39">
        <f t="shared" si="32"/>
        <v>111197</v>
      </c>
      <c r="CC44" s="37">
        <v>147624</v>
      </c>
      <c r="CD44" s="37">
        <v>130912</v>
      </c>
      <c r="CE44" s="37">
        <f t="shared" si="33"/>
        <v>16712</v>
      </c>
      <c r="CF44" s="37">
        <v>115824</v>
      </c>
      <c r="CG44" s="37">
        <f t="shared" si="34"/>
        <v>31800</v>
      </c>
      <c r="CH44" s="40">
        <v>22760</v>
      </c>
      <c r="CI44" s="39">
        <f t="shared" si="35"/>
        <v>124864</v>
      </c>
      <c r="CJ44" s="37">
        <v>126772</v>
      </c>
      <c r="CK44" s="37">
        <v>113000</v>
      </c>
      <c r="CL44" s="37">
        <f t="shared" si="359"/>
        <v>13772</v>
      </c>
      <c r="CM44" s="37">
        <v>100780</v>
      </c>
      <c r="CN44" s="37">
        <f t="shared" si="360"/>
        <v>25992</v>
      </c>
      <c r="CO44" s="40">
        <v>14555</v>
      </c>
      <c r="CP44" s="41">
        <f t="shared" si="38"/>
        <v>112217</v>
      </c>
      <c r="CQ44" s="37">
        <v>122100</v>
      </c>
      <c r="CR44" s="40">
        <v>19340</v>
      </c>
      <c r="CS44" s="41">
        <f t="shared" si="54"/>
        <v>102760</v>
      </c>
      <c r="CT44" s="37">
        <v>120105</v>
      </c>
      <c r="CU44" s="40">
        <v>22009</v>
      </c>
      <c r="CV44" s="41">
        <f t="shared" si="55"/>
        <v>98096</v>
      </c>
      <c r="CW44" s="37">
        <v>100334</v>
      </c>
      <c r="CX44" s="40">
        <v>9360</v>
      </c>
      <c r="CY44" s="41">
        <v>90974</v>
      </c>
      <c r="CZ44" s="37">
        <v>93510</v>
      </c>
      <c r="DA44" s="40">
        <v>10460</v>
      </c>
      <c r="DB44" s="41">
        <f t="shared" si="267"/>
        <v>83050</v>
      </c>
      <c r="DC44" s="37">
        <v>117854</v>
      </c>
      <c r="DD44" s="40">
        <v>9994</v>
      </c>
      <c r="DE44" s="42">
        <f t="shared" si="268"/>
        <v>107860</v>
      </c>
    </row>
    <row r="45" spans="1:109" s="1" customFormat="1" ht="12.5" x14ac:dyDescent="0.25">
      <c r="A45" s="112" t="s">
        <v>67</v>
      </c>
      <c r="B45" s="114"/>
      <c r="C45" s="114"/>
      <c r="D45" s="114"/>
      <c r="E45" s="114"/>
      <c r="F45" s="114"/>
      <c r="G45" s="114"/>
      <c r="H45" s="114"/>
      <c r="I45" s="121"/>
      <c r="J45" s="80">
        <f>126440+47540</f>
        <v>173980</v>
      </c>
      <c r="K45" s="89">
        <f>110640+45600</f>
        <v>156240</v>
      </c>
      <c r="L45" s="90">
        <f t="shared" ref="L45" si="654">J45-K45</f>
        <v>17740</v>
      </c>
      <c r="M45" s="89">
        <f>97360+9600+43400+1480</f>
        <v>151840</v>
      </c>
      <c r="N45" s="90">
        <f t="shared" ref="N45" si="655">J45-M45</f>
        <v>22140</v>
      </c>
      <c r="O45" s="105">
        <v>47540</v>
      </c>
      <c r="P45" s="96">
        <f t="shared" ref="P45" si="656">J45-O45</f>
        <v>126440</v>
      </c>
      <c r="Q45" s="108"/>
      <c r="R45" s="80">
        <f>145680+60840</f>
        <v>206520</v>
      </c>
      <c r="S45" s="89">
        <f>128100+56760</f>
        <v>184860</v>
      </c>
      <c r="T45" s="90">
        <f t="shared" ref="T45" si="657">R45-S45</f>
        <v>21660</v>
      </c>
      <c r="U45" s="89">
        <f>112080+11840+47840+2940</f>
        <v>174700</v>
      </c>
      <c r="V45" s="90">
        <f t="shared" ref="V45" si="658">R45-U45</f>
        <v>31820</v>
      </c>
      <c r="W45" s="91">
        <v>60840</v>
      </c>
      <c r="X45" s="96">
        <f t="shared" ref="X45" si="659">R45-W45</f>
        <v>145680</v>
      </c>
      <c r="Y45" s="83">
        <f>153140+44360</f>
        <v>197500</v>
      </c>
      <c r="Z45" s="84">
        <f>135520+42880</f>
        <v>178400</v>
      </c>
      <c r="AA45" s="29">
        <f t="shared" ref="AA45" si="660">Y45-Z45</f>
        <v>19100</v>
      </c>
      <c r="AB45" s="84">
        <f>113600+7860+42200+1080</f>
        <v>164740</v>
      </c>
      <c r="AC45" s="29">
        <f t="shared" ref="AC45" si="661">Y45-AB45</f>
        <v>32760</v>
      </c>
      <c r="AD45" s="65">
        <v>44360</v>
      </c>
      <c r="AE45" s="31">
        <f t="shared" ref="AE45" si="662">Y45-AD45</f>
        <v>153140</v>
      </c>
      <c r="AF45" s="80">
        <v>151898</v>
      </c>
      <c r="AG45" s="72">
        <v>128240</v>
      </c>
      <c r="AH45" s="29">
        <f t="shared" ref="AH45" si="663">AF45-AG45</f>
        <v>23658</v>
      </c>
      <c r="AI45" s="28">
        <v>115080</v>
      </c>
      <c r="AJ45" s="29">
        <f t="shared" ref="AJ45" si="664">AF45-AI45</f>
        <v>36818</v>
      </c>
      <c r="AK45" s="30">
        <v>15118</v>
      </c>
      <c r="AL45" s="31">
        <f t="shared" ref="AL45" si="665">AF45-AK45</f>
        <v>136780</v>
      </c>
      <c r="AM45" s="64">
        <v>151164</v>
      </c>
      <c r="AN45" s="28">
        <v>129080</v>
      </c>
      <c r="AO45" s="29">
        <f t="shared" si="511"/>
        <v>22084</v>
      </c>
      <c r="AP45" s="28">
        <v>114744</v>
      </c>
      <c r="AQ45" s="29">
        <f t="shared" si="512"/>
        <v>36420</v>
      </c>
      <c r="AR45" s="65">
        <v>15924</v>
      </c>
      <c r="AS45" s="31">
        <f t="shared" si="513"/>
        <v>135240</v>
      </c>
      <c r="AT45" s="23">
        <v>139412</v>
      </c>
      <c r="AU45" s="19">
        <v>120461</v>
      </c>
      <c r="AV45" s="20">
        <f t="shared" si="514"/>
        <v>18951</v>
      </c>
      <c r="AW45" s="19">
        <v>109825</v>
      </c>
      <c r="AX45" s="20">
        <f t="shared" si="515"/>
        <v>29587</v>
      </c>
      <c r="AY45" s="21">
        <v>13300</v>
      </c>
      <c r="AZ45" s="22">
        <f t="shared" si="516"/>
        <v>126112</v>
      </c>
      <c r="BA45" s="23">
        <v>155019</v>
      </c>
      <c r="BB45" s="19">
        <v>132866</v>
      </c>
      <c r="BC45" s="20">
        <f t="shared" si="517"/>
        <v>22153</v>
      </c>
      <c r="BD45" s="19">
        <v>118119</v>
      </c>
      <c r="BE45" s="20">
        <f t="shared" si="518"/>
        <v>36900</v>
      </c>
      <c r="BF45" s="21">
        <v>12340</v>
      </c>
      <c r="BG45" s="22">
        <f t="shared" si="519"/>
        <v>142679</v>
      </c>
      <c r="BH45" s="23">
        <v>149680</v>
      </c>
      <c r="BI45" s="24">
        <v>127240</v>
      </c>
      <c r="BJ45" s="20">
        <f t="shared" si="520"/>
        <v>22440</v>
      </c>
      <c r="BK45" s="19">
        <v>113320</v>
      </c>
      <c r="BL45" s="20">
        <f t="shared" si="521"/>
        <v>36360</v>
      </c>
      <c r="BM45" s="21">
        <v>13140</v>
      </c>
      <c r="BN45" s="22">
        <f t="shared" si="522"/>
        <v>136540</v>
      </c>
      <c r="BO45" s="23">
        <v>113258</v>
      </c>
      <c r="BP45" s="24">
        <v>96280</v>
      </c>
      <c r="BQ45" s="20">
        <f t="shared" si="27"/>
        <v>16978</v>
      </c>
      <c r="BR45" s="24">
        <v>87920</v>
      </c>
      <c r="BS45" s="20">
        <f t="shared" si="28"/>
        <v>25338</v>
      </c>
      <c r="BT45" s="21">
        <v>7000</v>
      </c>
      <c r="BU45" s="34">
        <f t="shared" si="29"/>
        <v>106258</v>
      </c>
      <c r="BV45" s="35">
        <v>125671</v>
      </c>
      <c r="BW45" s="43">
        <v>109678</v>
      </c>
      <c r="BX45" s="37">
        <f t="shared" si="30"/>
        <v>15993</v>
      </c>
      <c r="BY45" s="43">
        <v>101640</v>
      </c>
      <c r="BZ45" s="37">
        <f t="shared" si="31"/>
        <v>24031</v>
      </c>
      <c r="CA45" s="38">
        <v>5741</v>
      </c>
      <c r="CB45" s="39">
        <f t="shared" si="32"/>
        <v>119930</v>
      </c>
      <c r="CC45" s="37">
        <v>147500</v>
      </c>
      <c r="CD45" s="37">
        <v>131060</v>
      </c>
      <c r="CE45" s="37">
        <f t="shared" si="33"/>
        <v>16440</v>
      </c>
      <c r="CF45" s="37">
        <v>111940</v>
      </c>
      <c r="CG45" s="37">
        <f t="shared" si="34"/>
        <v>35560</v>
      </c>
      <c r="CH45" s="40">
        <v>22520</v>
      </c>
      <c r="CI45" s="39">
        <f t="shared" si="35"/>
        <v>124980</v>
      </c>
      <c r="CJ45" s="37">
        <v>135975</v>
      </c>
      <c r="CK45" s="37">
        <v>117938</v>
      </c>
      <c r="CL45" s="37">
        <f t="shared" si="359"/>
        <v>18037</v>
      </c>
      <c r="CM45" s="37">
        <v>106899</v>
      </c>
      <c r="CN45" s="37">
        <f t="shared" si="360"/>
        <v>29076</v>
      </c>
      <c r="CO45" s="40">
        <v>18300</v>
      </c>
      <c r="CP45" s="41">
        <f t="shared" si="38"/>
        <v>117675</v>
      </c>
      <c r="CQ45" s="37">
        <v>119979</v>
      </c>
      <c r="CR45" s="40">
        <v>11560</v>
      </c>
      <c r="CS45" s="41">
        <f t="shared" si="54"/>
        <v>108419</v>
      </c>
      <c r="CT45" s="37">
        <v>118355</v>
      </c>
      <c r="CU45" s="40">
        <v>15119</v>
      </c>
      <c r="CV45" s="41">
        <f t="shared" si="55"/>
        <v>103236</v>
      </c>
      <c r="CW45" s="37">
        <v>102853</v>
      </c>
      <c r="CX45" s="40">
        <v>6660</v>
      </c>
      <c r="CY45" s="41">
        <f t="shared" si="266"/>
        <v>96193</v>
      </c>
      <c r="CZ45" s="37">
        <v>89219</v>
      </c>
      <c r="DA45" s="40">
        <v>8500</v>
      </c>
      <c r="DB45" s="41">
        <f t="shared" si="267"/>
        <v>80719</v>
      </c>
      <c r="DC45" s="37">
        <v>117440</v>
      </c>
      <c r="DD45" s="40">
        <v>10340</v>
      </c>
      <c r="DE45" s="42">
        <f t="shared" si="268"/>
        <v>107100</v>
      </c>
    </row>
    <row r="46" spans="1:109" s="1" customFormat="1" ht="12.5" x14ac:dyDescent="0.25">
      <c r="A46" s="112" t="s">
        <v>68</v>
      </c>
      <c r="B46" s="114"/>
      <c r="C46" s="114"/>
      <c r="D46" s="114"/>
      <c r="E46" s="114"/>
      <c r="F46" s="114"/>
      <c r="G46" s="114"/>
      <c r="H46" s="114"/>
      <c r="I46" s="121"/>
      <c r="J46" s="80">
        <f>128682+42050</f>
        <v>170732</v>
      </c>
      <c r="K46" s="89">
        <f>111360+39680</f>
        <v>151040</v>
      </c>
      <c r="L46" s="90">
        <f t="shared" ref="L46" si="666">J46-K46</f>
        <v>19692</v>
      </c>
      <c r="M46" s="89">
        <f>99520+11264+37480+1940</f>
        <v>150204</v>
      </c>
      <c r="N46" s="90">
        <f t="shared" ref="N46" si="667">J46-M46</f>
        <v>20528</v>
      </c>
      <c r="O46" s="105">
        <v>42050</v>
      </c>
      <c r="P46" s="96">
        <f t="shared" ref="P46" si="668">J46-O46</f>
        <v>128682</v>
      </c>
      <c r="Q46" s="108"/>
      <c r="R46" s="80">
        <f>151389+95860</f>
        <v>247249</v>
      </c>
      <c r="S46" s="89">
        <f>133030+92700</f>
        <v>225730</v>
      </c>
      <c r="T46" s="90">
        <f t="shared" ref="T46" si="669">R46-S46</f>
        <v>21519</v>
      </c>
      <c r="U46" s="89">
        <f>114920+11160+87980+2060</f>
        <v>216120</v>
      </c>
      <c r="V46" s="90">
        <f t="shared" ref="V46" si="670">R46-U46</f>
        <v>31129</v>
      </c>
      <c r="W46" s="91">
        <v>95860</v>
      </c>
      <c r="X46" s="96">
        <f t="shared" ref="X46" si="671">R46-W46</f>
        <v>151389</v>
      </c>
      <c r="Y46" s="83">
        <f>162980+42660</f>
        <v>205640</v>
      </c>
      <c r="Z46" s="84">
        <f>143640+41160</f>
        <v>184800</v>
      </c>
      <c r="AA46" s="29">
        <f t="shared" ref="AA46" si="672">Y46-Z46</f>
        <v>20840</v>
      </c>
      <c r="AB46" s="84">
        <f>120960+9000+40640+1120</f>
        <v>171720</v>
      </c>
      <c r="AC46" s="29">
        <f t="shared" ref="AC46" si="673">Y46-AB46</f>
        <v>33920</v>
      </c>
      <c r="AD46" s="65">
        <v>42660</v>
      </c>
      <c r="AE46" s="31">
        <f t="shared" ref="AE46" si="674">Y46-AD46</f>
        <v>162980</v>
      </c>
      <c r="AF46" s="80">
        <v>184759</v>
      </c>
      <c r="AG46" s="72">
        <v>157559</v>
      </c>
      <c r="AH46" s="29">
        <f t="shared" ref="AH46" si="675">AF46-AG46</f>
        <v>27200</v>
      </c>
      <c r="AI46" s="28">
        <v>139290</v>
      </c>
      <c r="AJ46" s="29">
        <f t="shared" ref="AJ46" si="676">AF46-AI46</f>
        <v>45469</v>
      </c>
      <c r="AK46" s="30">
        <v>31090</v>
      </c>
      <c r="AL46" s="31">
        <f t="shared" ref="AL46" si="677">AF46-AK46</f>
        <v>153669</v>
      </c>
      <c r="AM46" s="64">
        <v>150320</v>
      </c>
      <c r="AN46" s="28">
        <v>126780</v>
      </c>
      <c r="AO46" s="29">
        <f t="shared" si="511"/>
        <v>23540</v>
      </c>
      <c r="AP46" s="28">
        <v>117660</v>
      </c>
      <c r="AQ46" s="29">
        <f t="shared" si="512"/>
        <v>32660</v>
      </c>
      <c r="AR46" s="65">
        <v>10760</v>
      </c>
      <c r="AS46" s="31">
        <f t="shared" si="513"/>
        <v>139560</v>
      </c>
      <c r="AT46" s="23">
        <v>144039</v>
      </c>
      <c r="AU46" s="19">
        <v>126260</v>
      </c>
      <c r="AV46" s="20">
        <f t="shared" si="514"/>
        <v>17779</v>
      </c>
      <c r="AW46" s="19">
        <v>113066</v>
      </c>
      <c r="AX46" s="20">
        <f t="shared" si="515"/>
        <v>30973</v>
      </c>
      <c r="AY46" s="21">
        <v>9900</v>
      </c>
      <c r="AZ46" s="22">
        <f t="shared" si="516"/>
        <v>134139</v>
      </c>
      <c r="BA46" s="23">
        <v>159866</v>
      </c>
      <c r="BB46" s="19">
        <v>135166</v>
      </c>
      <c r="BC46" s="20">
        <f t="shared" si="517"/>
        <v>24700</v>
      </c>
      <c r="BD46" s="19">
        <v>122590</v>
      </c>
      <c r="BE46" s="20">
        <f t="shared" si="518"/>
        <v>37276</v>
      </c>
      <c r="BF46" s="21">
        <v>13380</v>
      </c>
      <c r="BG46" s="22">
        <f t="shared" si="519"/>
        <v>146486</v>
      </c>
      <c r="BH46" s="23">
        <v>138321</v>
      </c>
      <c r="BI46" s="24">
        <v>120202</v>
      </c>
      <c r="BJ46" s="20">
        <f t="shared" si="520"/>
        <v>18119</v>
      </c>
      <c r="BK46" s="19">
        <v>104282</v>
      </c>
      <c r="BL46" s="20">
        <f t="shared" si="521"/>
        <v>34039</v>
      </c>
      <c r="BM46" s="21">
        <v>9821</v>
      </c>
      <c r="BN46" s="22">
        <f t="shared" si="522"/>
        <v>128500</v>
      </c>
      <c r="BO46" s="23">
        <v>115579</v>
      </c>
      <c r="BP46" s="24">
        <v>99020</v>
      </c>
      <c r="BQ46" s="20">
        <f t="shared" si="27"/>
        <v>16559</v>
      </c>
      <c r="BR46" s="24">
        <v>93740</v>
      </c>
      <c r="BS46" s="20">
        <f t="shared" si="28"/>
        <v>21839</v>
      </c>
      <c r="BT46" s="21">
        <v>8580</v>
      </c>
      <c r="BU46" s="34">
        <f t="shared" si="29"/>
        <v>106999</v>
      </c>
      <c r="BV46" s="35">
        <v>135680</v>
      </c>
      <c r="BW46" s="43">
        <v>119080</v>
      </c>
      <c r="BX46" s="37">
        <f t="shared" si="30"/>
        <v>16600</v>
      </c>
      <c r="BY46" s="43">
        <v>110800</v>
      </c>
      <c r="BZ46" s="37">
        <f t="shared" si="31"/>
        <v>24880</v>
      </c>
      <c r="CA46" s="38">
        <v>13740</v>
      </c>
      <c r="CB46" s="39">
        <f t="shared" si="32"/>
        <v>121940</v>
      </c>
      <c r="CC46" s="37">
        <v>152785</v>
      </c>
      <c r="CD46" s="37">
        <v>132480</v>
      </c>
      <c r="CE46" s="37">
        <f t="shared" si="33"/>
        <v>20305</v>
      </c>
      <c r="CF46" s="37">
        <v>115740</v>
      </c>
      <c r="CG46" s="37">
        <f t="shared" si="34"/>
        <v>37045</v>
      </c>
      <c r="CH46" s="40">
        <v>16121</v>
      </c>
      <c r="CI46" s="39">
        <f t="shared" si="35"/>
        <v>136664</v>
      </c>
      <c r="CJ46" s="37">
        <v>144696</v>
      </c>
      <c r="CK46" s="37">
        <v>125740</v>
      </c>
      <c r="CL46" s="37">
        <f t="shared" si="359"/>
        <v>18956</v>
      </c>
      <c r="CM46" s="37">
        <v>107175</v>
      </c>
      <c r="CN46" s="37">
        <f t="shared" si="360"/>
        <v>37521</v>
      </c>
      <c r="CO46" s="40">
        <v>28960</v>
      </c>
      <c r="CP46" s="41">
        <f t="shared" si="38"/>
        <v>115736</v>
      </c>
      <c r="CQ46" s="37">
        <v>117376</v>
      </c>
      <c r="CR46" s="40">
        <v>7359</v>
      </c>
      <c r="CS46" s="41">
        <f t="shared" si="54"/>
        <v>110017</v>
      </c>
      <c r="CT46" s="37">
        <v>116973</v>
      </c>
      <c r="CU46" s="40">
        <v>8798</v>
      </c>
      <c r="CV46" s="41">
        <f t="shared" si="55"/>
        <v>108175</v>
      </c>
      <c r="CW46" s="37">
        <v>119198</v>
      </c>
      <c r="CX46" s="40">
        <v>12878</v>
      </c>
      <c r="CY46" s="41">
        <f t="shared" si="266"/>
        <v>106320</v>
      </c>
      <c r="CZ46" s="37">
        <v>97004</v>
      </c>
      <c r="DA46" s="40">
        <v>4505</v>
      </c>
      <c r="DB46" s="41">
        <f t="shared" si="267"/>
        <v>92499</v>
      </c>
      <c r="DC46" s="37">
        <v>119216</v>
      </c>
      <c r="DD46" s="40">
        <v>11860</v>
      </c>
      <c r="DE46" s="42">
        <f t="shared" si="268"/>
        <v>107356</v>
      </c>
    </row>
    <row r="47" spans="1:109" s="1" customFormat="1" ht="12.5" x14ac:dyDescent="0.25">
      <c r="A47" s="112" t="s">
        <v>69</v>
      </c>
      <c r="B47" s="114"/>
      <c r="C47" s="114"/>
      <c r="D47" s="114"/>
      <c r="E47" s="114"/>
      <c r="F47" s="114"/>
      <c r="G47" s="114"/>
      <c r="H47" s="114"/>
      <c r="I47" s="121"/>
      <c r="J47" s="80">
        <f>131375+37900</f>
        <v>169275</v>
      </c>
      <c r="K47" s="89">
        <f>113960+36080</f>
        <v>150040</v>
      </c>
      <c r="L47" s="90">
        <f t="shared" ref="L47" si="678">J47-K47</f>
        <v>19235</v>
      </c>
      <c r="M47" s="89">
        <f>100960+11135+34000+1440</f>
        <v>147535</v>
      </c>
      <c r="N47" s="90">
        <f t="shared" ref="N47" si="679">J47-M47</f>
        <v>21740</v>
      </c>
      <c r="O47" s="105">
        <v>37900</v>
      </c>
      <c r="P47" s="96">
        <f t="shared" ref="P47" si="680">J47-O47</f>
        <v>131375</v>
      </c>
      <c r="Q47" s="108"/>
      <c r="R47" s="80">
        <f>152760+99440</f>
        <v>252200</v>
      </c>
      <c r="S47" s="89">
        <f>130680+96580</f>
        <v>227260</v>
      </c>
      <c r="T47" s="90">
        <f t="shared" ref="T47" si="681">R47-S47</f>
        <v>24940</v>
      </c>
      <c r="U47" s="89">
        <f>106920+12300+90440+2500</f>
        <v>212160</v>
      </c>
      <c r="V47" s="90">
        <f t="shared" ref="V47" si="682">R47-U47</f>
        <v>40040</v>
      </c>
      <c r="W47" s="91">
        <v>99440</v>
      </c>
      <c r="X47" s="96">
        <f t="shared" ref="X47" si="683">R47-W47</f>
        <v>152760</v>
      </c>
      <c r="Y47" s="83">
        <f>157298+53857</f>
        <v>211155</v>
      </c>
      <c r="Z47" s="84">
        <f>137698+53000</f>
        <v>190698</v>
      </c>
      <c r="AA47" s="29">
        <f t="shared" ref="AA47" si="684">Y47-Z47</f>
        <v>20457</v>
      </c>
      <c r="AB47" s="84">
        <f>110740+9080+52320+457</f>
        <v>172597</v>
      </c>
      <c r="AC47" s="29">
        <f t="shared" ref="AC47" si="685">Y47-AB47</f>
        <v>38558</v>
      </c>
      <c r="AD47" s="65">
        <v>53000</v>
      </c>
      <c r="AE47" s="31">
        <f t="shared" ref="AE47" si="686">Y47-AD47</f>
        <v>158155</v>
      </c>
      <c r="AF47" s="80">
        <v>186780</v>
      </c>
      <c r="AG47" s="72">
        <v>157220</v>
      </c>
      <c r="AH47" s="29">
        <f t="shared" ref="AH47" si="687">AF47-AG47</f>
        <v>29560</v>
      </c>
      <c r="AI47" s="28">
        <v>142640</v>
      </c>
      <c r="AJ47" s="29">
        <f t="shared" ref="AJ47" si="688">AF47-AI47</f>
        <v>44140</v>
      </c>
      <c r="AK47" s="30">
        <v>27780</v>
      </c>
      <c r="AL47" s="31">
        <f t="shared" ref="AL47" si="689">AF47-AK47</f>
        <v>159000</v>
      </c>
      <c r="AM47" s="64">
        <v>150652</v>
      </c>
      <c r="AN47" s="28">
        <v>129480</v>
      </c>
      <c r="AO47" s="29">
        <f t="shared" si="511"/>
        <v>21172</v>
      </c>
      <c r="AP47" s="28">
        <v>115832</v>
      </c>
      <c r="AQ47" s="29">
        <f t="shared" si="512"/>
        <v>34820</v>
      </c>
      <c r="AR47" s="65">
        <v>14592</v>
      </c>
      <c r="AS47" s="31">
        <f t="shared" si="513"/>
        <v>136060</v>
      </c>
      <c r="AT47" s="23">
        <v>151710</v>
      </c>
      <c r="AU47" s="19">
        <v>132920</v>
      </c>
      <c r="AV47" s="20">
        <f t="shared" si="514"/>
        <v>18790</v>
      </c>
      <c r="AW47" s="19">
        <v>119040</v>
      </c>
      <c r="AX47" s="20">
        <f t="shared" si="515"/>
        <v>32670</v>
      </c>
      <c r="AY47" s="21">
        <v>13580</v>
      </c>
      <c r="AZ47" s="22">
        <f t="shared" si="516"/>
        <v>138130</v>
      </c>
      <c r="BA47" s="23">
        <v>161570</v>
      </c>
      <c r="BB47" s="19">
        <v>135394</v>
      </c>
      <c r="BC47" s="20">
        <f t="shared" si="517"/>
        <v>26176</v>
      </c>
      <c r="BD47" s="19">
        <v>120732</v>
      </c>
      <c r="BE47" s="20">
        <f t="shared" si="518"/>
        <v>40838</v>
      </c>
      <c r="BF47" s="21">
        <v>14619</v>
      </c>
      <c r="BG47" s="22">
        <f t="shared" si="519"/>
        <v>146951</v>
      </c>
      <c r="BH47" s="23">
        <v>151239</v>
      </c>
      <c r="BI47" s="24">
        <v>130980</v>
      </c>
      <c r="BJ47" s="20">
        <f t="shared" si="520"/>
        <v>20259</v>
      </c>
      <c r="BK47" s="19">
        <v>113540</v>
      </c>
      <c r="BL47" s="20">
        <f t="shared" si="521"/>
        <v>37699</v>
      </c>
      <c r="BM47" s="21">
        <v>7820</v>
      </c>
      <c r="BN47" s="22">
        <f t="shared" si="522"/>
        <v>143419</v>
      </c>
      <c r="BO47" s="23">
        <v>118525</v>
      </c>
      <c r="BP47" s="24">
        <v>100465</v>
      </c>
      <c r="BQ47" s="20">
        <f t="shared" si="27"/>
        <v>18060</v>
      </c>
      <c r="BR47" s="24">
        <v>94605</v>
      </c>
      <c r="BS47" s="20">
        <f t="shared" si="28"/>
        <v>23920</v>
      </c>
      <c r="BT47" s="21">
        <v>6105</v>
      </c>
      <c r="BU47" s="34">
        <f t="shared" si="29"/>
        <v>112420</v>
      </c>
      <c r="BV47" s="35">
        <v>147214</v>
      </c>
      <c r="BW47" s="43">
        <v>129820</v>
      </c>
      <c r="BX47" s="37">
        <f t="shared" si="30"/>
        <v>17394</v>
      </c>
      <c r="BY47" s="43">
        <v>121700</v>
      </c>
      <c r="BZ47" s="37">
        <f t="shared" si="31"/>
        <v>25514</v>
      </c>
      <c r="CA47" s="38">
        <v>16920</v>
      </c>
      <c r="CB47" s="39">
        <f t="shared" si="32"/>
        <v>130294</v>
      </c>
      <c r="CC47" s="37">
        <v>165141</v>
      </c>
      <c r="CD47" s="37">
        <v>145800</v>
      </c>
      <c r="CE47" s="37">
        <f t="shared" si="33"/>
        <v>19341</v>
      </c>
      <c r="CF47" s="37">
        <v>121420</v>
      </c>
      <c r="CG47" s="37">
        <f t="shared" si="34"/>
        <v>43721</v>
      </c>
      <c r="CH47" s="40">
        <v>19060</v>
      </c>
      <c r="CI47" s="39">
        <f t="shared" si="35"/>
        <v>146081</v>
      </c>
      <c r="CJ47" s="37">
        <v>145704</v>
      </c>
      <c r="CK47" s="37">
        <v>125559</v>
      </c>
      <c r="CL47" s="37">
        <f t="shared" si="359"/>
        <v>20145</v>
      </c>
      <c r="CM47" s="37">
        <v>109945</v>
      </c>
      <c r="CN47" s="37">
        <f t="shared" si="360"/>
        <v>35759</v>
      </c>
      <c r="CO47" s="40">
        <v>21080</v>
      </c>
      <c r="CP47" s="41">
        <f t="shared" si="38"/>
        <v>124624</v>
      </c>
      <c r="CQ47" s="37">
        <v>112675</v>
      </c>
      <c r="CR47" s="40">
        <v>11776</v>
      </c>
      <c r="CS47" s="41">
        <f t="shared" si="54"/>
        <v>100899</v>
      </c>
      <c r="CT47" s="37">
        <v>127349</v>
      </c>
      <c r="CU47" s="40">
        <v>12610</v>
      </c>
      <c r="CV47" s="41">
        <f t="shared" si="55"/>
        <v>114739</v>
      </c>
      <c r="CW47" s="37">
        <v>123664</v>
      </c>
      <c r="CX47" s="40">
        <v>11665</v>
      </c>
      <c r="CY47" s="41">
        <f t="shared" si="266"/>
        <v>111999</v>
      </c>
      <c r="CZ47" s="37">
        <v>98663</v>
      </c>
      <c r="DA47" s="40">
        <v>6120</v>
      </c>
      <c r="DB47" s="41">
        <f t="shared" si="267"/>
        <v>92543</v>
      </c>
      <c r="DC47" s="37">
        <v>135588</v>
      </c>
      <c r="DD47" s="40">
        <v>27239</v>
      </c>
      <c r="DE47" s="42">
        <f t="shared" si="268"/>
        <v>108349</v>
      </c>
    </row>
    <row r="48" spans="1:109" s="1" customFormat="1" ht="12.5" x14ac:dyDescent="0.25">
      <c r="A48" s="112" t="s">
        <v>70</v>
      </c>
      <c r="B48" s="114"/>
      <c r="C48" s="114"/>
      <c r="D48" s="114"/>
      <c r="E48" s="114"/>
      <c r="F48" s="114"/>
      <c r="G48" s="114"/>
      <c r="H48" s="114"/>
      <c r="I48" s="121"/>
      <c r="J48" s="80">
        <f>137730+43640</f>
        <v>181370</v>
      </c>
      <c r="K48" s="89">
        <f>119799+41600</f>
        <v>161399</v>
      </c>
      <c r="L48" s="90">
        <f t="shared" ref="L48" si="690">J48-K48</f>
        <v>19971</v>
      </c>
      <c r="M48" s="89">
        <f>104040+11251+38960+1740</f>
        <v>155991</v>
      </c>
      <c r="N48" s="90">
        <f t="shared" ref="N48" si="691">J48-M48</f>
        <v>25379</v>
      </c>
      <c r="O48" s="105">
        <v>43640</v>
      </c>
      <c r="P48" s="96">
        <f t="shared" ref="P48" si="692">J48-O48</f>
        <v>137730</v>
      </c>
      <c r="Q48" s="110"/>
      <c r="R48" s="80">
        <f>158799+109540</f>
        <v>268339</v>
      </c>
      <c r="S48" s="89">
        <f>136220+109540</f>
        <v>245760</v>
      </c>
      <c r="T48" s="90">
        <f t="shared" ref="T48" si="693">R48-S48</f>
        <v>22579</v>
      </c>
      <c r="U48" s="89">
        <f>111840+13899+97700+3020</f>
        <v>226459</v>
      </c>
      <c r="V48" s="90">
        <f t="shared" ref="V48" si="694">R48-U48</f>
        <v>41880</v>
      </c>
      <c r="W48" s="91">
        <v>109540</v>
      </c>
      <c r="X48" s="96">
        <f t="shared" ref="X48" si="695">R48-W48</f>
        <v>158799</v>
      </c>
      <c r="Y48" s="83">
        <f>171099+49000</f>
        <v>220099</v>
      </c>
      <c r="Z48" s="84">
        <f>150460+48040</f>
        <v>198500</v>
      </c>
      <c r="AA48" s="29">
        <f t="shared" ref="AA48" si="696">Y48-Z48</f>
        <v>21599</v>
      </c>
      <c r="AB48" s="84">
        <f>123240+10320+46760+600</f>
        <v>180920</v>
      </c>
      <c r="AC48" s="29">
        <f t="shared" ref="AC48" si="697">Y48-AB48</f>
        <v>39179</v>
      </c>
      <c r="AD48" s="65">
        <v>49000</v>
      </c>
      <c r="AE48" s="31">
        <f t="shared" ref="AE48" si="698">Y48-AD48</f>
        <v>171099</v>
      </c>
      <c r="AF48" s="80">
        <v>188528</v>
      </c>
      <c r="AG48" s="72">
        <v>155000</v>
      </c>
      <c r="AH48" s="29">
        <f t="shared" ref="AH48" si="699">AF48-AG48</f>
        <v>33528</v>
      </c>
      <c r="AI48" s="28">
        <v>142700</v>
      </c>
      <c r="AJ48" s="29">
        <f t="shared" ref="AJ48" si="700">AF48-AI48</f>
        <v>45828</v>
      </c>
      <c r="AK48" s="30">
        <v>22639</v>
      </c>
      <c r="AL48" s="31">
        <f t="shared" ref="AL48" si="701">AF48-AK48</f>
        <v>165889</v>
      </c>
      <c r="AM48" s="64">
        <v>165973</v>
      </c>
      <c r="AN48" s="28">
        <v>138100</v>
      </c>
      <c r="AO48" s="29">
        <f t="shared" si="511"/>
        <v>27873</v>
      </c>
      <c r="AP48" s="28">
        <v>126584</v>
      </c>
      <c r="AQ48" s="29">
        <f t="shared" si="512"/>
        <v>39389</v>
      </c>
      <c r="AR48" s="65">
        <v>15644</v>
      </c>
      <c r="AS48" s="31">
        <f t="shared" si="513"/>
        <v>150329</v>
      </c>
      <c r="AT48" s="23">
        <v>161197</v>
      </c>
      <c r="AU48" s="19">
        <v>140001</v>
      </c>
      <c r="AV48" s="20">
        <f t="shared" si="514"/>
        <v>21196</v>
      </c>
      <c r="AW48" s="19">
        <v>129427</v>
      </c>
      <c r="AX48" s="20">
        <f t="shared" si="515"/>
        <v>31770</v>
      </c>
      <c r="AY48" s="21">
        <v>10987</v>
      </c>
      <c r="AZ48" s="22">
        <f t="shared" si="516"/>
        <v>150210</v>
      </c>
      <c r="BA48" s="23">
        <v>169339</v>
      </c>
      <c r="BB48" s="19">
        <v>140880</v>
      </c>
      <c r="BC48" s="20">
        <f t="shared" si="517"/>
        <v>28459</v>
      </c>
      <c r="BD48" s="19">
        <v>124520</v>
      </c>
      <c r="BE48" s="20">
        <f t="shared" si="518"/>
        <v>44819</v>
      </c>
      <c r="BF48" s="21">
        <v>15359</v>
      </c>
      <c r="BG48" s="22">
        <f t="shared" si="519"/>
        <v>153980</v>
      </c>
      <c r="BH48" s="23">
        <v>162135</v>
      </c>
      <c r="BI48" s="24">
        <v>141100</v>
      </c>
      <c r="BJ48" s="20">
        <f t="shared" si="520"/>
        <v>21035</v>
      </c>
      <c r="BK48" s="19">
        <v>124860</v>
      </c>
      <c r="BL48" s="20">
        <f t="shared" si="521"/>
        <v>37275</v>
      </c>
      <c r="BM48" s="21">
        <v>15660</v>
      </c>
      <c r="BN48" s="22">
        <f t="shared" si="522"/>
        <v>146475</v>
      </c>
      <c r="BO48" s="23">
        <v>126695</v>
      </c>
      <c r="BP48" s="24">
        <v>106920</v>
      </c>
      <c r="BQ48" s="20">
        <f t="shared" si="27"/>
        <v>19775</v>
      </c>
      <c r="BR48" s="24">
        <v>99360</v>
      </c>
      <c r="BS48" s="20">
        <f t="shared" si="28"/>
        <v>27335</v>
      </c>
      <c r="BT48" s="21">
        <v>4920</v>
      </c>
      <c r="BU48" s="34">
        <f t="shared" si="29"/>
        <v>121775</v>
      </c>
      <c r="BV48" s="35">
        <v>153992</v>
      </c>
      <c r="BW48" s="43">
        <v>135420</v>
      </c>
      <c r="BX48" s="37">
        <f t="shared" si="30"/>
        <v>18572</v>
      </c>
      <c r="BY48" s="43">
        <v>125820</v>
      </c>
      <c r="BZ48" s="37">
        <f t="shared" si="31"/>
        <v>28172</v>
      </c>
      <c r="CA48" s="38">
        <v>12140</v>
      </c>
      <c r="CB48" s="39">
        <f t="shared" si="32"/>
        <v>141852</v>
      </c>
      <c r="CC48" s="37">
        <v>157817</v>
      </c>
      <c r="CD48" s="37">
        <v>135780</v>
      </c>
      <c r="CE48" s="37">
        <f t="shared" si="33"/>
        <v>22037</v>
      </c>
      <c r="CF48" s="37">
        <v>115520</v>
      </c>
      <c r="CG48" s="37">
        <f t="shared" si="34"/>
        <v>42297</v>
      </c>
      <c r="CH48" s="40">
        <v>18080</v>
      </c>
      <c r="CI48" s="39">
        <f t="shared" si="35"/>
        <v>139737</v>
      </c>
      <c r="CJ48" s="37">
        <v>133588</v>
      </c>
      <c r="CK48" s="37">
        <v>111769</v>
      </c>
      <c r="CL48" s="37">
        <f t="shared" si="359"/>
        <v>21819</v>
      </c>
      <c r="CM48" s="37">
        <v>99529</v>
      </c>
      <c r="CN48" s="37">
        <f t="shared" si="360"/>
        <v>34059</v>
      </c>
      <c r="CO48" s="40">
        <v>7920</v>
      </c>
      <c r="CP48" s="41">
        <f t="shared" si="38"/>
        <v>125668</v>
      </c>
      <c r="CQ48" s="37">
        <v>127817</v>
      </c>
      <c r="CR48" s="40">
        <v>15180</v>
      </c>
      <c r="CS48" s="41">
        <f t="shared" si="54"/>
        <v>112637</v>
      </c>
      <c r="CT48" s="37">
        <v>132229</v>
      </c>
      <c r="CU48" s="40">
        <v>16638</v>
      </c>
      <c r="CV48" s="41">
        <f t="shared" si="55"/>
        <v>115591</v>
      </c>
      <c r="CW48" s="37">
        <v>119016</v>
      </c>
      <c r="CX48" s="40">
        <v>7181</v>
      </c>
      <c r="CY48" s="41">
        <f t="shared" si="266"/>
        <v>111835</v>
      </c>
      <c r="CZ48" s="37">
        <v>98226</v>
      </c>
      <c r="DA48" s="40">
        <v>4120</v>
      </c>
      <c r="DB48" s="41">
        <f t="shared" si="267"/>
        <v>94106</v>
      </c>
      <c r="DC48" s="37">
        <v>144743</v>
      </c>
      <c r="DD48" s="40">
        <v>27357</v>
      </c>
      <c r="DE48" s="42">
        <f t="shared" si="268"/>
        <v>117386</v>
      </c>
    </row>
    <row r="49" spans="1:109" s="1" customFormat="1" ht="12.5" x14ac:dyDescent="0.25">
      <c r="A49" s="112" t="s">
        <v>71</v>
      </c>
      <c r="B49" s="114"/>
      <c r="C49" s="114"/>
      <c r="D49" s="114"/>
      <c r="E49" s="114"/>
      <c r="F49" s="114"/>
      <c r="G49" s="114"/>
      <c r="H49" s="114"/>
      <c r="I49" s="121"/>
      <c r="J49" s="80">
        <f>129450+40239</f>
        <v>169689</v>
      </c>
      <c r="K49" s="89">
        <f>109880+37880</f>
        <v>147760</v>
      </c>
      <c r="L49" s="90">
        <f t="shared" ref="L49" si="702">J49-K49</f>
        <v>21929</v>
      </c>
      <c r="M49" s="89">
        <f>95040+12270+36080+1900</f>
        <v>145290</v>
      </c>
      <c r="N49" s="90">
        <f t="shared" ref="N49" si="703">J49-M49</f>
        <v>24399</v>
      </c>
      <c r="O49" s="105">
        <v>40239</v>
      </c>
      <c r="P49" s="96">
        <f t="shared" ref="P49" si="704">J49-O49</f>
        <v>129450</v>
      </c>
      <c r="Q49" s="110"/>
      <c r="R49" s="80">
        <f>164719+106000</f>
        <v>270719</v>
      </c>
      <c r="S49" s="89">
        <f>142020+103240</f>
        <v>245260</v>
      </c>
      <c r="T49" s="90">
        <f t="shared" ref="T49" si="705">R49-S49</f>
        <v>25459</v>
      </c>
      <c r="U49" s="89">
        <f>117580+13520+96200+1820</f>
        <v>229120</v>
      </c>
      <c r="V49" s="90">
        <f t="shared" ref="V49" si="706">R49-U49</f>
        <v>41599</v>
      </c>
      <c r="W49" s="91">
        <v>106000</v>
      </c>
      <c r="X49" s="96">
        <f t="shared" ref="X49" si="707">R49-W49</f>
        <v>164719</v>
      </c>
      <c r="Y49" s="83">
        <f>168780+52800</f>
        <v>221580</v>
      </c>
      <c r="Z49" s="84">
        <f>147120+51920</f>
        <v>199040</v>
      </c>
      <c r="AA49" s="29">
        <f t="shared" ref="AA49" si="708">Y49-Z49</f>
        <v>22540</v>
      </c>
      <c r="AB49" s="84">
        <f>122400+10720+50440+720</f>
        <v>184280</v>
      </c>
      <c r="AC49" s="29">
        <f t="shared" ref="AC49" si="709">Y49-AB49</f>
        <v>37300</v>
      </c>
      <c r="AD49" s="65">
        <v>52800</v>
      </c>
      <c r="AE49" s="31">
        <f t="shared" ref="AE49" si="710">Y49-AD49</f>
        <v>168780</v>
      </c>
      <c r="AF49" s="80">
        <v>174973</v>
      </c>
      <c r="AG49" s="72">
        <v>147900</v>
      </c>
      <c r="AH49" s="29">
        <f t="shared" ref="AH49" si="711">AF49-AG49</f>
        <v>27073</v>
      </c>
      <c r="AI49" s="28">
        <v>133195</v>
      </c>
      <c r="AJ49" s="29">
        <f t="shared" ref="AJ49" si="712">AF49-AI49</f>
        <v>41778</v>
      </c>
      <c r="AK49" s="30">
        <v>21634</v>
      </c>
      <c r="AL49" s="31">
        <f t="shared" ref="AL49" si="713">AF49-AK49</f>
        <v>153339</v>
      </c>
      <c r="AM49" s="64">
        <v>159300</v>
      </c>
      <c r="AN49" s="28">
        <v>134300</v>
      </c>
      <c r="AO49" s="29">
        <f t="shared" si="511"/>
        <v>25000</v>
      </c>
      <c r="AP49" s="28">
        <v>119900</v>
      </c>
      <c r="AQ49" s="29">
        <f t="shared" si="512"/>
        <v>39400</v>
      </c>
      <c r="AR49" s="65">
        <v>14380</v>
      </c>
      <c r="AS49" s="31">
        <f t="shared" si="513"/>
        <v>144920</v>
      </c>
      <c r="AT49" s="23">
        <v>164407</v>
      </c>
      <c r="AU49" s="19">
        <v>140840</v>
      </c>
      <c r="AV49" s="20">
        <f t="shared" si="514"/>
        <v>23567</v>
      </c>
      <c r="AW49" s="19">
        <v>130600</v>
      </c>
      <c r="AX49" s="20">
        <f t="shared" si="515"/>
        <v>33807</v>
      </c>
      <c r="AY49" s="21">
        <v>11099</v>
      </c>
      <c r="AZ49" s="22">
        <f t="shared" si="516"/>
        <v>153308</v>
      </c>
      <c r="BA49" s="23">
        <v>171736</v>
      </c>
      <c r="BB49" s="24">
        <v>140666</v>
      </c>
      <c r="BC49" s="24">
        <f t="shared" si="517"/>
        <v>31070</v>
      </c>
      <c r="BD49" s="24">
        <v>124000</v>
      </c>
      <c r="BE49" s="24">
        <f t="shared" si="518"/>
        <v>47736</v>
      </c>
      <c r="BF49" s="21">
        <v>13466</v>
      </c>
      <c r="BG49" s="22">
        <f t="shared" si="519"/>
        <v>158270</v>
      </c>
      <c r="BH49" s="23">
        <v>167935</v>
      </c>
      <c r="BI49" s="24">
        <v>142880</v>
      </c>
      <c r="BJ49" s="20">
        <f t="shared" si="520"/>
        <v>25055</v>
      </c>
      <c r="BK49" s="19">
        <v>128200</v>
      </c>
      <c r="BL49" s="20">
        <f t="shared" si="521"/>
        <v>39735</v>
      </c>
      <c r="BM49" s="21">
        <v>6000</v>
      </c>
      <c r="BN49" s="22">
        <f t="shared" si="522"/>
        <v>161935</v>
      </c>
      <c r="BO49" s="23">
        <v>133650</v>
      </c>
      <c r="BP49" s="24">
        <v>113400</v>
      </c>
      <c r="BQ49" s="20">
        <f t="shared" si="27"/>
        <v>20250</v>
      </c>
      <c r="BR49" s="24">
        <v>103960</v>
      </c>
      <c r="BS49" s="20">
        <f t="shared" si="28"/>
        <v>29690</v>
      </c>
      <c r="BT49" s="21">
        <v>8440</v>
      </c>
      <c r="BU49" s="34">
        <f t="shared" si="29"/>
        <v>125210</v>
      </c>
      <c r="BV49" s="44">
        <v>148029</v>
      </c>
      <c r="BW49" s="45">
        <v>130350</v>
      </c>
      <c r="BX49" s="37">
        <f t="shared" si="30"/>
        <v>17679</v>
      </c>
      <c r="BY49" s="45">
        <v>116474</v>
      </c>
      <c r="BZ49" s="37">
        <f t="shared" si="31"/>
        <v>31555</v>
      </c>
      <c r="CA49" s="38">
        <v>12454</v>
      </c>
      <c r="CB49" s="39">
        <f t="shared" si="32"/>
        <v>135575</v>
      </c>
      <c r="CC49" s="37">
        <v>155594</v>
      </c>
      <c r="CD49" s="37">
        <v>133000</v>
      </c>
      <c r="CE49" s="37">
        <f t="shared" si="33"/>
        <v>22594</v>
      </c>
      <c r="CF49" s="37">
        <v>113140</v>
      </c>
      <c r="CG49" s="37">
        <f t="shared" si="34"/>
        <v>42454</v>
      </c>
      <c r="CH49" s="40">
        <v>15064</v>
      </c>
      <c r="CI49" s="39">
        <f t="shared" si="35"/>
        <v>140530</v>
      </c>
      <c r="CJ49" s="37">
        <v>114074</v>
      </c>
      <c r="CK49" s="37">
        <v>93320</v>
      </c>
      <c r="CL49" s="37">
        <f t="shared" si="359"/>
        <v>20754</v>
      </c>
      <c r="CM49" s="37">
        <v>79684</v>
      </c>
      <c r="CN49" s="37">
        <f t="shared" si="360"/>
        <v>34390</v>
      </c>
      <c r="CO49" s="40">
        <v>2920</v>
      </c>
      <c r="CP49" s="41">
        <f t="shared" si="38"/>
        <v>111154</v>
      </c>
      <c r="CQ49" s="37">
        <v>124315</v>
      </c>
      <c r="CR49" s="40">
        <v>10880</v>
      </c>
      <c r="CS49" s="41">
        <f t="shared" si="54"/>
        <v>113435</v>
      </c>
      <c r="CT49" s="37">
        <v>132541</v>
      </c>
      <c r="CU49" s="40">
        <v>13268</v>
      </c>
      <c r="CV49" s="41">
        <f t="shared" si="55"/>
        <v>119273</v>
      </c>
      <c r="CW49" s="37">
        <v>123899</v>
      </c>
      <c r="CX49" s="40">
        <v>11359</v>
      </c>
      <c r="CY49" s="41">
        <f t="shared" si="266"/>
        <v>112540</v>
      </c>
      <c r="CZ49" s="37">
        <v>101029</v>
      </c>
      <c r="DA49" s="40">
        <v>4649</v>
      </c>
      <c r="DB49" s="41">
        <f t="shared" si="267"/>
        <v>96380</v>
      </c>
      <c r="DC49" s="37">
        <v>125135</v>
      </c>
      <c r="DD49" s="40">
        <v>14120</v>
      </c>
      <c r="DE49" s="42">
        <f t="shared" si="268"/>
        <v>111015</v>
      </c>
    </row>
    <row r="50" spans="1:109" s="1" customFormat="1" ht="12.5" x14ac:dyDescent="0.25">
      <c r="A50" s="112" t="s">
        <v>72</v>
      </c>
      <c r="B50" s="114"/>
      <c r="C50" s="114"/>
      <c r="D50" s="114"/>
      <c r="E50" s="114"/>
      <c r="F50" s="114"/>
      <c r="G50" s="114"/>
      <c r="H50" s="114"/>
      <c r="I50" s="121"/>
      <c r="J50" s="80">
        <f>132740+32540</f>
        <v>165280</v>
      </c>
      <c r="K50" s="89">
        <f>112920+30580</f>
        <v>143500</v>
      </c>
      <c r="L50" s="90">
        <f t="shared" ref="L50" si="714">J50-K50</f>
        <v>21780</v>
      </c>
      <c r="M50" s="89">
        <f>94120+12241+29620+1480</f>
        <v>137461</v>
      </c>
      <c r="N50" s="90">
        <f t="shared" ref="N50" si="715">J50-M50</f>
        <v>27819</v>
      </c>
      <c r="O50" s="105">
        <v>32540</v>
      </c>
      <c r="P50" s="96">
        <f t="shared" ref="P50" si="716">J50-O50</f>
        <v>132740</v>
      </c>
      <c r="Q50" s="110"/>
      <c r="R50" s="80">
        <f>160780+104060</f>
        <v>264840</v>
      </c>
      <c r="S50" s="89">
        <f>137860+100000</f>
        <v>237860</v>
      </c>
      <c r="T50" s="90">
        <f t="shared" ref="T50" si="717">R50-S50</f>
        <v>26980</v>
      </c>
      <c r="U50" s="89">
        <f>115260+14860+93300+2880</f>
        <v>226300</v>
      </c>
      <c r="V50" s="90">
        <f t="shared" ref="V50" si="718">R50-U50</f>
        <v>38540</v>
      </c>
      <c r="W50" s="91">
        <v>104060</v>
      </c>
      <c r="X50" s="96">
        <f t="shared" ref="X50" si="719">R50-W50</f>
        <v>160780</v>
      </c>
      <c r="Y50" s="83">
        <f>162280+60376</f>
        <v>222656</v>
      </c>
      <c r="Z50" s="84">
        <f>140820+59119</f>
        <v>199939</v>
      </c>
      <c r="AA50" s="29">
        <f t="shared" ref="AA50" si="720">Y50-Z50</f>
        <v>22717</v>
      </c>
      <c r="AB50" s="84">
        <f>113400+9800+56080+657</f>
        <v>179937</v>
      </c>
      <c r="AC50" s="29">
        <f t="shared" ref="AC50" si="721">Y50-AB50</f>
        <v>42719</v>
      </c>
      <c r="AD50" s="65">
        <v>60376</v>
      </c>
      <c r="AE50" s="31">
        <f t="shared" ref="AE50" si="722">Y50-AD50</f>
        <v>162280</v>
      </c>
      <c r="AF50" s="80">
        <v>177510</v>
      </c>
      <c r="AG50" s="72">
        <v>146280</v>
      </c>
      <c r="AH50" s="29">
        <f t="shared" ref="AH50" si="723">AF50-AG50</f>
        <v>31230</v>
      </c>
      <c r="AI50" s="28">
        <v>135374</v>
      </c>
      <c r="AJ50" s="29">
        <f t="shared" ref="AJ50" si="724">AF50-AI50</f>
        <v>42136</v>
      </c>
      <c r="AK50" s="30">
        <v>17740</v>
      </c>
      <c r="AL50" s="31">
        <f t="shared" ref="AL50" si="725">AF50-AK50</f>
        <v>159770</v>
      </c>
      <c r="AM50" s="64">
        <v>166652</v>
      </c>
      <c r="AN50" s="28">
        <v>137540</v>
      </c>
      <c r="AO50" s="29">
        <f t="shared" si="511"/>
        <v>29112</v>
      </c>
      <c r="AP50" s="28">
        <v>124472</v>
      </c>
      <c r="AQ50" s="29">
        <f t="shared" si="512"/>
        <v>42180</v>
      </c>
      <c r="AR50" s="65">
        <v>15632</v>
      </c>
      <c r="AS50" s="31">
        <f t="shared" si="513"/>
        <v>151020</v>
      </c>
      <c r="AT50" s="23">
        <v>165580</v>
      </c>
      <c r="AU50" s="19">
        <v>145480</v>
      </c>
      <c r="AV50" s="20">
        <f t="shared" si="514"/>
        <v>20100</v>
      </c>
      <c r="AW50" s="19">
        <v>130500</v>
      </c>
      <c r="AX50" s="20">
        <f t="shared" si="515"/>
        <v>35080</v>
      </c>
      <c r="AY50" s="21">
        <v>15320</v>
      </c>
      <c r="AZ50" s="22">
        <f t="shared" si="516"/>
        <v>150260</v>
      </c>
      <c r="BA50" s="23">
        <v>166856</v>
      </c>
      <c r="BB50" s="24">
        <v>138386</v>
      </c>
      <c r="BC50" s="24">
        <f t="shared" si="517"/>
        <v>28470</v>
      </c>
      <c r="BD50" s="24">
        <v>123096</v>
      </c>
      <c r="BE50" s="24">
        <f t="shared" si="518"/>
        <v>43760</v>
      </c>
      <c r="BF50" s="21">
        <v>13240</v>
      </c>
      <c r="BG50" s="22">
        <f t="shared" si="519"/>
        <v>153616</v>
      </c>
      <c r="BH50" s="23">
        <v>172760</v>
      </c>
      <c r="BI50" s="24">
        <v>148960</v>
      </c>
      <c r="BJ50" s="20">
        <f t="shared" si="520"/>
        <v>23800</v>
      </c>
      <c r="BK50" s="19">
        <v>131580</v>
      </c>
      <c r="BL50" s="20">
        <f t="shared" si="521"/>
        <v>41180</v>
      </c>
      <c r="BM50" s="21">
        <v>8940</v>
      </c>
      <c r="BN50" s="22">
        <f t="shared" si="522"/>
        <v>163820</v>
      </c>
      <c r="BO50" s="23">
        <v>132838</v>
      </c>
      <c r="BP50" s="24">
        <v>113178</v>
      </c>
      <c r="BQ50" s="20">
        <f t="shared" si="27"/>
        <v>19660</v>
      </c>
      <c r="BR50" s="24">
        <v>102460</v>
      </c>
      <c r="BS50" s="20">
        <f t="shared" si="28"/>
        <v>30378</v>
      </c>
      <c r="BT50" s="21">
        <v>9080</v>
      </c>
      <c r="BU50" s="34">
        <f t="shared" si="29"/>
        <v>123758</v>
      </c>
      <c r="BV50" s="35">
        <v>150710</v>
      </c>
      <c r="BW50" s="46">
        <v>133510</v>
      </c>
      <c r="BX50" s="37">
        <f t="shared" si="30"/>
        <v>17200</v>
      </c>
      <c r="BY50" s="46">
        <v>121470</v>
      </c>
      <c r="BZ50" s="37">
        <f t="shared" si="31"/>
        <v>29240</v>
      </c>
      <c r="CA50" s="47">
        <v>13210</v>
      </c>
      <c r="CB50" s="39">
        <f t="shared" si="32"/>
        <v>137500</v>
      </c>
      <c r="CC50" s="37">
        <v>157879</v>
      </c>
      <c r="CD50" s="37">
        <v>136440</v>
      </c>
      <c r="CE50" s="37">
        <f t="shared" si="33"/>
        <v>21439</v>
      </c>
      <c r="CF50" s="37">
        <v>111040</v>
      </c>
      <c r="CG50" s="37">
        <f t="shared" si="34"/>
        <v>46839</v>
      </c>
      <c r="CH50" s="40">
        <v>16479</v>
      </c>
      <c r="CI50" s="39">
        <f t="shared" si="35"/>
        <v>141400</v>
      </c>
      <c r="CJ50" s="37">
        <v>112941</v>
      </c>
      <c r="CK50" s="37">
        <v>91358</v>
      </c>
      <c r="CL50" s="37">
        <f t="shared" si="359"/>
        <v>21583</v>
      </c>
      <c r="CM50" s="37">
        <v>78876</v>
      </c>
      <c r="CN50" s="37">
        <f t="shared" si="360"/>
        <v>34065</v>
      </c>
      <c r="CO50" s="40">
        <v>2673</v>
      </c>
      <c r="CP50" s="41">
        <f t="shared" si="38"/>
        <v>110268</v>
      </c>
      <c r="CQ50" s="37">
        <v>121987</v>
      </c>
      <c r="CR50" s="40">
        <v>8719</v>
      </c>
      <c r="CS50" s="41">
        <f t="shared" si="54"/>
        <v>113268</v>
      </c>
      <c r="CT50" s="37">
        <v>142561</v>
      </c>
      <c r="CU50" s="40">
        <v>11340</v>
      </c>
      <c r="CV50" s="41">
        <f t="shared" si="55"/>
        <v>131221</v>
      </c>
      <c r="CW50" s="37">
        <v>126105</v>
      </c>
      <c r="CX50" s="40">
        <v>17231</v>
      </c>
      <c r="CY50" s="41">
        <f t="shared" si="266"/>
        <v>108874</v>
      </c>
      <c r="CZ50" s="37">
        <v>106840</v>
      </c>
      <c r="DA50" s="40">
        <v>4060</v>
      </c>
      <c r="DB50" s="41">
        <f t="shared" si="267"/>
        <v>102780</v>
      </c>
      <c r="DC50" s="37">
        <v>119574</v>
      </c>
      <c r="DD50" s="40">
        <v>7140</v>
      </c>
      <c r="DE50" s="42">
        <f t="shared" si="268"/>
        <v>112434</v>
      </c>
    </row>
    <row r="51" spans="1:109" s="1" customFormat="1" ht="12.5" x14ac:dyDescent="0.25">
      <c r="A51" s="112" t="s">
        <v>73</v>
      </c>
      <c r="B51" s="114"/>
      <c r="C51" s="114"/>
      <c r="D51" s="114"/>
      <c r="E51" s="114"/>
      <c r="F51" s="114"/>
      <c r="G51" s="114"/>
      <c r="H51" s="114"/>
      <c r="I51" s="121"/>
      <c r="J51" s="80">
        <f>133334+62100</f>
        <v>195434</v>
      </c>
      <c r="K51" s="89">
        <f>114120+59320</f>
        <v>173440</v>
      </c>
      <c r="L51" s="90">
        <f t="shared" ref="L51" si="726">J51-K51</f>
        <v>21994</v>
      </c>
      <c r="M51" s="89">
        <f>93920+11014+57400+2120</f>
        <v>164454</v>
      </c>
      <c r="N51" s="90">
        <f t="shared" ref="N51" si="727">J51-M51</f>
        <v>30980</v>
      </c>
      <c r="O51" s="105">
        <v>62100</v>
      </c>
      <c r="P51" s="96">
        <f t="shared" ref="P51" si="728">J51-O51</f>
        <v>133334</v>
      </c>
      <c r="Q51" s="110"/>
      <c r="R51" s="80">
        <f>168299+86859</f>
        <v>255158</v>
      </c>
      <c r="S51" s="89">
        <f>144600+82140</f>
        <v>226740</v>
      </c>
      <c r="T51" s="90">
        <f t="shared" ref="T51" si="729">R51-S51</f>
        <v>28418</v>
      </c>
      <c r="U51" s="89">
        <f>117400+13560+74320+3539</f>
        <v>208819</v>
      </c>
      <c r="V51" s="90">
        <f t="shared" ref="V51" si="730">R51-U51</f>
        <v>46339</v>
      </c>
      <c r="W51" s="91">
        <v>86859</v>
      </c>
      <c r="X51" s="96">
        <f t="shared" ref="X51" si="731">R51-W51</f>
        <v>168299</v>
      </c>
      <c r="Y51" s="83">
        <f>167661+56600</f>
        <v>224261</v>
      </c>
      <c r="Z51" s="84">
        <f>143000+55600</f>
        <v>198600</v>
      </c>
      <c r="AA51" s="29">
        <f t="shared" ref="AA51" si="732">Y51-Z51</f>
        <v>25661</v>
      </c>
      <c r="AB51" s="84">
        <f>115440+12560+52100+720</f>
        <v>180820</v>
      </c>
      <c r="AC51" s="29">
        <f t="shared" ref="AC51" si="733">Y51-AB51</f>
        <v>43441</v>
      </c>
      <c r="AD51" s="65">
        <v>56600</v>
      </c>
      <c r="AE51" s="31">
        <f t="shared" ref="AE51" si="734">Y51-AD51</f>
        <v>167661</v>
      </c>
      <c r="AF51" s="80">
        <v>180275</v>
      </c>
      <c r="AG51" s="72">
        <v>147840</v>
      </c>
      <c r="AH51" s="29">
        <f t="shared" ref="AH51" si="735">AF51-AG51</f>
        <v>32435</v>
      </c>
      <c r="AI51" s="28">
        <v>137898</v>
      </c>
      <c r="AJ51" s="29">
        <f t="shared" ref="AJ51" si="736">AF51-AI51</f>
        <v>42377</v>
      </c>
      <c r="AK51" s="30">
        <v>21677</v>
      </c>
      <c r="AL51" s="31">
        <f t="shared" ref="AL51" si="737">AF51-AK51</f>
        <v>158598</v>
      </c>
      <c r="AM51" s="64">
        <v>175608</v>
      </c>
      <c r="AN51" s="28">
        <v>147140</v>
      </c>
      <c r="AO51" s="29">
        <f t="shared" si="511"/>
        <v>28468</v>
      </c>
      <c r="AP51" s="28">
        <v>128900</v>
      </c>
      <c r="AQ51" s="29">
        <f t="shared" si="512"/>
        <v>46708</v>
      </c>
      <c r="AR51" s="65">
        <v>20470</v>
      </c>
      <c r="AS51" s="31">
        <f t="shared" si="513"/>
        <v>155138</v>
      </c>
      <c r="AT51" s="23">
        <v>165486</v>
      </c>
      <c r="AU51" s="19">
        <v>144380</v>
      </c>
      <c r="AV51" s="20">
        <f t="shared" si="514"/>
        <v>21106</v>
      </c>
      <c r="AW51" s="19">
        <v>130146</v>
      </c>
      <c r="AX51" s="20">
        <f t="shared" si="515"/>
        <v>35340</v>
      </c>
      <c r="AY51" s="21">
        <v>15306</v>
      </c>
      <c r="AZ51" s="22">
        <f t="shared" si="516"/>
        <v>150180</v>
      </c>
      <c r="BA51" s="23">
        <v>168848</v>
      </c>
      <c r="BB51" s="24">
        <v>141979</v>
      </c>
      <c r="BC51" s="24">
        <f t="shared" si="517"/>
        <v>26869</v>
      </c>
      <c r="BD51" s="24">
        <v>122751</v>
      </c>
      <c r="BE51" s="24">
        <f t="shared" si="518"/>
        <v>46097</v>
      </c>
      <c r="BF51" s="21">
        <v>13280</v>
      </c>
      <c r="BG51" s="22">
        <f t="shared" si="519"/>
        <v>155568</v>
      </c>
      <c r="BH51" s="23">
        <v>178260</v>
      </c>
      <c r="BI51" s="24">
        <v>151760</v>
      </c>
      <c r="BJ51" s="20">
        <f t="shared" si="520"/>
        <v>26500</v>
      </c>
      <c r="BK51" s="19">
        <v>132520</v>
      </c>
      <c r="BL51" s="20">
        <f t="shared" si="521"/>
        <v>45740</v>
      </c>
      <c r="BM51" s="21">
        <v>15320</v>
      </c>
      <c r="BN51" s="22">
        <f t="shared" si="522"/>
        <v>162940</v>
      </c>
      <c r="BO51" s="23">
        <v>136904</v>
      </c>
      <c r="BP51" s="24">
        <v>116045</v>
      </c>
      <c r="BQ51" s="20">
        <f t="shared" si="27"/>
        <v>20859</v>
      </c>
      <c r="BR51" s="24">
        <v>106865</v>
      </c>
      <c r="BS51" s="20">
        <f t="shared" si="28"/>
        <v>30039</v>
      </c>
      <c r="BT51" s="21">
        <v>7038</v>
      </c>
      <c r="BU51" s="34">
        <f t="shared" si="29"/>
        <v>129866</v>
      </c>
      <c r="BV51" s="35">
        <v>146819</v>
      </c>
      <c r="BW51" s="46">
        <v>129840</v>
      </c>
      <c r="BX51" s="37">
        <f t="shared" si="30"/>
        <v>16979</v>
      </c>
      <c r="BY51" s="46">
        <v>118820</v>
      </c>
      <c r="BZ51" s="37">
        <f t="shared" si="31"/>
        <v>27999</v>
      </c>
      <c r="CA51" s="47">
        <v>11740</v>
      </c>
      <c r="CB51" s="39">
        <f t="shared" si="32"/>
        <v>135079</v>
      </c>
      <c r="CC51" s="37">
        <v>164521</v>
      </c>
      <c r="CD51" s="37">
        <v>141380</v>
      </c>
      <c r="CE51" s="37">
        <f t="shared" si="33"/>
        <v>23141</v>
      </c>
      <c r="CF51" s="37">
        <v>120701</v>
      </c>
      <c r="CG51" s="37">
        <f t="shared" si="34"/>
        <v>43820</v>
      </c>
      <c r="CH51" s="40">
        <v>30059</v>
      </c>
      <c r="CI51" s="39">
        <f t="shared" si="35"/>
        <v>134462</v>
      </c>
      <c r="CJ51" s="37">
        <v>116637</v>
      </c>
      <c r="CK51" s="37">
        <v>94399</v>
      </c>
      <c r="CL51" s="37">
        <f t="shared" si="359"/>
        <v>22238</v>
      </c>
      <c r="CM51" s="37">
        <v>76072</v>
      </c>
      <c r="CN51" s="37">
        <f t="shared" si="360"/>
        <v>40565</v>
      </c>
      <c r="CO51" s="40">
        <v>13960</v>
      </c>
      <c r="CP51" s="41">
        <f t="shared" si="38"/>
        <v>102677</v>
      </c>
      <c r="CQ51" s="37">
        <v>129079</v>
      </c>
      <c r="CR51" s="40">
        <v>6220</v>
      </c>
      <c r="CS51" s="41">
        <f t="shared" si="54"/>
        <v>122859</v>
      </c>
      <c r="CT51" s="37">
        <v>143332</v>
      </c>
      <c r="CU51" s="40">
        <v>17727</v>
      </c>
      <c r="CV51" s="41">
        <f t="shared" si="55"/>
        <v>125605</v>
      </c>
      <c r="CW51" s="37">
        <v>124060</v>
      </c>
      <c r="CX51" s="40">
        <v>6760</v>
      </c>
      <c r="CY51" s="41">
        <f t="shared" si="266"/>
        <v>117300</v>
      </c>
      <c r="CZ51" s="37">
        <v>123095</v>
      </c>
      <c r="DA51" s="40">
        <v>14440</v>
      </c>
      <c r="DB51" s="41">
        <f t="shared" si="267"/>
        <v>108655</v>
      </c>
      <c r="DC51" s="37">
        <v>124306</v>
      </c>
      <c r="DD51" s="40">
        <v>9240</v>
      </c>
      <c r="DE51" s="42">
        <f t="shared" si="268"/>
        <v>115066</v>
      </c>
    </row>
    <row r="52" spans="1:109" s="1" customFormat="1" ht="13.5" thickBot="1" x14ac:dyDescent="0.35">
      <c r="A52" s="113" t="s">
        <v>74</v>
      </c>
      <c r="B52" s="114"/>
      <c r="C52" s="114"/>
      <c r="D52" s="114"/>
      <c r="E52" s="114"/>
      <c r="F52" s="114"/>
      <c r="G52" s="114"/>
      <c r="H52" s="114"/>
      <c r="I52" s="121"/>
      <c r="J52" s="80">
        <f>141190+37280</f>
        <v>178470</v>
      </c>
      <c r="K52" s="89">
        <f>119640+35240</f>
        <v>154880</v>
      </c>
      <c r="L52" s="90">
        <f t="shared" ref="L52" si="738">J52-K52</f>
        <v>23590</v>
      </c>
      <c r="M52" s="89">
        <f>96320+12070+33040+1280</f>
        <v>142710</v>
      </c>
      <c r="N52" s="90">
        <f t="shared" ref="N52" si="739">J52-M52</f>
        <v>35760</v>
      </c>
      <c r="O52" s="105">
        <v>37280</v>
      </c>
      <c r="P52" s="96">
        <f t="shared" ref="P52" si="740">J52-O52</f>
        <v>141190</v>
      </c>
      <c r="Q52" s="111"/>
      <c r="R52" s="81">
        <f>177311+66599</f>
        <v>243910</v>
      </c>
      <c r="S52" s="98">
        <f>152460+62740</f>
        <v>215200</v>
      </c>
      <c r="T52" s="74">
        <f t="shared" ref="T52" si="741">R52-S52</f>
        <v>28710</v>
      </c>
      <c r="U52" s="98">
        <f>128380+15000+56660+2060</f>
        <v>202100</v>
      </c>
      <c r="V52" s="74">
        <f t="shared" ref="V52" si="742">R52-U52</f>
        <v>41810</v>
      </c>
      <c r="W52" s="99">
        <v>66599</v>
      </c>
      <c r="X52" s="77">
        <f t="shared" ref="X52" si="743">R52-W52</f>
        <v>177311</v>
      </c>
      <c r="Y52" s="100">
        <f>178480+54100</f>
        <v>232580</v>
      </c>
      <c r="Z52" s="98">
        <f>149560+53360</f>
        <v>202920</v>
      </c>
      <c r="AA52" s="74">
        <f t="shared" ref="AA52" si="744">Y52-Z52</f>
        <v>29660</v>
      </c>
      <c r="AB52" s="98">
        <f>121440+14640+50200+460</f>
        <v>186740</v>
      </c>
      <c r="AC52" s="74">
        <f t="shared" ref="AC52" si="745">Y52-AB52</f>
        <v>45840</v>
      </c>
      <c r="AD52" s="99">
        <v>54100</v>
      </c>
      <c r="AE52" s="77">
        <f t="shared" ref="AE52" si="746">Y52-AD52</f>
        <v>178480</v>
      </c>
      <c r="AF52" s="81">
        <v>183555</v>
      </c>
      <c r="AG52" s="73">
        <v>156676</v>
      </c>
      <c r="AH52" s="74">
        <f t="shared" ref="AH52" si="747">AF52-AG52</f>
        <v>26879</v>
      </c>
      <c r="AI52" s="75">
        <v>143550</v>
      </c>
      <c r="AJ52" s="74">
        <f t="shared" ref="AJ52" si="748">AF52-AI52</f>
        <v>40005</v>
      </c>
      <c r="AK52" s="76">
        <v>20799</v>
      </c>
      <c r="AL52" s="77">
        <f t="shared" ref="AL52" si="749">AF52-AK52</f>
        <v>162756</v>
      </c>
      <c r="AM52" s="69">
        <v>178859</v>
      </c>
      <c r="AN52" s="66">
        <v>150700</v>
      </c>
      <c r="AO52" s="32">
        <f t="shared" si="511"/>
        <v>28159</v>
      </c>
      <c r="AP52" s="66">
        <v>134160</v>
      </c>
      <c r="AQ52" s="32">
        <f t="shared" si="512"/>
        <v>44699</v>
      </c>
      <c r="AR52" s="67">
        <v>13820</v>
      </c>
      <c r="AS52" s="68">
        <f t="shared" si="513"/>
        <v>165039</v>
      </c>
      <c r="AT52" s="25">
        <v>176500</v>
      </c>
      <c r="AU52" s="48">
        <v>161180</v>
      </c>
      <c r="AV52" s="49">
        <f t="shared" si="514"/>
        <v>15320</v>
      </c>
      <c r="AW52" s="48">
        <v>137220</v>
      </c>
      <c r="AX52" s="49">
        <f t="shared" si="515"/>
        <v>39280</v>
      </c>
      <c r="AY52" s="50">
        <v>15320</v>
      </c>
      <c r="AZ52" s="51">
        <f t="shared" si="516"/>
        <v>161180</v>
      </c>
      <c r="BA52" s="25">
        <v>171166</v>
      </c>
      <c r="BB52" s="26">
        <v>139246</v>
      </c>
      <c r="BC52" s="26">
        <f t="shared" si="517"/>
        <v>31920</v>
      </c>
      <c r="BD52" s="26">
        <v>123950</v>
      </c>
      <c r="BE52" s="26">
        <f t="shared" si="518"/>
        <v>47216</v>
      </c>
      <c r="BF52" s="52">
        <v>12946</v>
      </c>
      <c r="BG52" s="53">
        <f t="shared" si="519"/>
        <v>158220</v>
      </c>
      <c r="BH52" s="25"/>
      <c r="BI52" s="26"/>
      <c r="BJ52" s="26"/>
      <c r="BK52" s="26"/>
      <c r="BL52" s="26"/>
      <c r="BM52" s="26"/>
      <c r="BN52" s="27"/>
      <c r="BO52" s="25">
        <v>141000</v>
      </c>
      <c r="BP52" s="26">
        <v>120200</v>
      </c>
      <c r="BQ52" s="49">
        <f t="shared" si="27"/>
        <v>20800</v>
      </c>
      <c r="BR52" s="26">
        <v>108140</v>
      </c>
      <c r="BS52" s="49">
        <f t="shared" si="28"/>
        <v>32860</v>
      </c>
      <c r="BT52" s="50">
        <v>8700</v>
      </c>
      <c r="BU52" s="54">
        <f t="shared" si="29"/>
        <v>132300</v>
      </c>
      <c r="BV52" s="55">
        <v>151404</v>
      </c>
      <c r="BW52" s="56">
        <v>133103</v>
      </c>
      <c r="BX52" s="57">
        <f t="shared" si="30"/>
        <v>18301</v>
      </c>
      <c r="BY52" s="56">
        <v>118903</v>
      </c>
      <c r="BZ52" s="57">
        <f t="shared" si="31"/>
        <v>32501</v>
      </c>
      <c r="CA52" s="58">
        <v>10899</v>
      </c>
      <c r="CB52" s="59">
        <f t="shared" si="32"/>
        <v>140505</v>
      </c>
      <c r="CC52" s="60"/>
      <c r="CD52" s="57"/>
      <c r="CE52" s="57"/>
      <c r="CF52" s="57"/>
      <c r="CG52" s="57"/>
      <c r="CH52" s="61"/>
      <c r="CI52" s="59"/>
      <c r="CJ52" s="57">
        <v>114336</v>
      </c>
      <c r="CK52" s="57">
        <v>88513</v>
      </c>
      <c r="CL52" s="57">
        <f t="shared" si="359"/>
        <v>25823</v>
      </c>
      <c r="CM52" s="57">
        <v>74003</v>
      </c>
      <c r="CN52" s="57">
        <f t="shared" si="360"/>
        <v>40333</v>
      </c>
      <c r="CO52" s="61">
        <v>7320</v>
      </c>
      <c r="CP52" s="62">
        <f t="shared" si="38"/>
        <v>107016</v>
      </c>
      <c r="CQ52" s="57">
        <v>129980</v>
      </c>
      <c r="CR52" s="61">
        <v>6760</v>
      </c>
      <c r="CS52" s="62">
        <f t="shared" si="54"/>
        <v>123220</v>
      </c>
      <c r="CT52" s="57"/>
      <c r="CU52" s="61"/>
      <c r="CV52" s="62"/>
      <c r="CW52" s="57"/>
      <c r="CX52" s="61"/>
      <c r="CY52" s="62"/>
      <c r="CZ52" s="57"/>
      <c r="DA52" s="61"/>
      <c r="DB52" s="62"/>
      <c r="DC52" s="57"/>
      <c r="DD52" s="61"/>
      <c r="DE52" s="63"/>
    </row>
  </sheetData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Sheet1!_MailOriginal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</dc:creator>
  <cp:lastModifiedBy>Drew Brown - M J Clarke Ltd</cp:lastModifiedBy>
  <dcterms:created xsi:type="dcterms:W3CDTF">2016-12-10T05:17:07Z</dcterms:created>
  <dcterms:modified xsi:type="dcterms:W3CDTF">2025-09-08T05:10:06Z</dcterms:modified>
</cp:coreProperties>
</file>