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xr:revisionPtr revIDLastSave="71" documentId="13_ncr:1_{3ED97BC4-BA45-4E6D-9747-2B2757FFB6B8}" xr6:coauthVersionLast="47" xr6:coauthVersionMax="47" xr10:uidLastSave="{C4FA24F6-037C-4CA0-B616-D4C8FC78BE9D}"/>
  <bookViews>
    <workbookView xWindow="-120" yWindow="-120" windowWidth="38640" windowHeight="21120" tabRatio="870" activeTab="10" xr2:uid="{00000000-000D-0000-FFFF-FFFF00000000}"/>
  </bookViews>
  <sheets>
    <sheet name="LCI_Biogas" sheetId="14" r:id="rId1"/>
    <sheet name="LCI_Upgrading" sheetId="17" r:id="rId2"/>
    <sheet name="LCI_BiomethaneMarket" sheetId="19" r:id="rId3"/>
    <sheet name="LCI_Heat" sheetId="23" r:id="rId4"/>
    <sheet name="LCI_Ammonia_NG&amp;Biomethane" sheetId="22" r:id="rId5"/>
    <sheet name="LCI_Ammonia_Electrolysis" sheetId="25" r:id="rId6"/>
    <sheet name="LCI_CCS" sheetId="28" r:id="rId7"/>
    <sheet name="LCI_DAC" sheetId="29" r:id="rId8"/>
    <sheet name="ParametersCalculation" sheetId="2" r:id="rId9"/>
    <sheet name="MethaneLeakageRange" sheetId="30" r:id="rId10"/>
    <sheet name="GasesProperties" sheetId="21" r:id="rId11"/>
    <sheet name="References" sheetId="18" r:id="rId12"/>
  </sheets>
  <definedNames>
    <definedName name="_xlnm._FilterDatabase" localSheetId="11" hidden="1">References!$A$1:$A$19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23" l="1"/>
  <c r="I10" i="23"/>
  <c r="K16" i="17"/>
  <c r="E68" i="30"/>
  <c r="F68" i="30"/>
  <c r="G68" i="30"/>
  <c r="H68" i="30"/>
  <c r="I68" i="30"/>
  <c r="J68" i="30"/>
  <c r="K68" i="30"/>
  <c r="L68" i="30"/>
  <c r="M68" i="30"/>
  <c r="N68" i="30"/>
  <c r="O68" i="30"/>
  <c r="P68" i="30"/>
  <c r="Q68" i="30"/>
  <c r="R68" i="30"/>
  <c r="S68" i="30"/>
  <c r="T68" i="30"/>
  <c r="U68" i="30"/>
  <c r="V68" i="30"/>
  <c r="W68" i="30"/>
  <c r="D68" i="30"/>
  <c r="C68" i="30"/>
  <c r="E67" i="30"/>
  <c r="F67" i="30"/>
  <c r="G67" i="30"/>
  <c r="H67" i="30"/>
  <c r="I67" i="30"/>
  <c r="J67" i="30"/>
  <c r="K67" i="30"/>
  <c r="L67" i="30"/>
  <c r="M67" i="30"/>
  <c r="N67" i="30"/>
  <c r="O67" i="30"/>
  <c r="P67" i="30"/>
  <c r="Q67" i="30"/>
  <c r="R67" i="30"/>
  <c r="S67" i="30"/>
  <c r="T67" i="30"/>
  <c r="U67" i="30"/>
  <c r="V67" i="30"/>
  <c r="W67" i="30"/>
  <c r="D67" i="30"/>
  <c r="C67" i="30"/>
  <c r="D63" i="30"/>
  <c r="E63" i="30"/>
  <c r="F63" i="30"/>
  <c r="G63" i="30"/>
  <c r="H63" i="30"/>
  <c r="I63" i="30"/>
  <c r="J63" i="30"/>
  <c r="K63" i="30"/>
  <c r="L63" i="30"/>
  <c r="M63" i="30"/>
  <c r="N63" i="30"/>
  <c r="O63" i="30"/>
  <c r="P63" i="30"/>
  <c r="Q63" i="30"/>
  <c r="R63" i="30"/>
  <c r="S63" i="30"/>
  <c r="T63" i="30"/>
  <c r="U63" i="30"/>
  <c r="V63" i="30"/>
  <c r="W63" i="30"/>
  <c r="C63" i="30"/>
  <c r="W62" i="30"/>
  <c r="D62" i="30"/>
  <c r="E62" i="30"/>
  <c r="F62" i="30"/>
  <c r="G62" i="30"/>
  <c r="H62" i="30"/>
  <c r="I62" i="30"/>
  <c r="J62" i="30"/>
  <c r="K62" i="30"/>
  <c r="L62" i="30"/>
  <c r="M62" i="30"/>
  <c r="N62" i="30"/>
  <c r="O62" i="30"/>
  <c r="P62" i="30"/>
  <c r="Q62" i="30"/>
  <c r="R62" i="30"/>
  <c r="S62" i="30"/>
  <c r="T62" i="30"/>
  <c r="U62" i="30"/>
  <c r="V62" i="30"/>
  <c r="C62" i="30"/>
  <c r="D59" i="30"/>
  <c r="E59" i="30"/>
  <c r="F59" i="30"/>
  <c r="G59" i="30"/>
  <c r="H59" i="30"/>
  <c r="I59" i="30"/>
  <c r="J59" i="30"/>
  <c r="K59" i="30"/>
  <c r="L59" i="30"/>
  <c r="M59" i="30"/>
  <c r="N59" i="30"/>
  <c r="O59" i="30"/>
  <c r="P59" i="30"/>
  <c r="Q59" i="30"/>
  <c r="R59" i="30"/>
  <c r="S59" i="30"/>
  <c r="T59" i="30"/>
  <c r="U59" i="30"/>
  <c r="V59" i="30"/>
  <c r="W59" i="30"/>
  <c r="C59" i="30"/>
  <c r="D57" i="30"/>
  <c r="E57" i="30"/>
  <c r="F57" i="30"/>
  <c r="G57" i="30"/>
  <c r="H57" i="30"/>
  <c r="I57" i="30"/>
  <c r="J57" i="30"/>
  <c r="K57" i="30"/>
  <c r="L57" i="30"/>
  <c r="M57" i="30"/>
  <c r="N57" i="30"/>
  <c r="O57" i="30"/>
  <c r="P57" i="30"/>
  <c r="Q57" i="30"/>
  <c r="R57" i="30"/>
  <c r="S57" i="30"/>
  <c r="T57" i="30"/>
  <c r="U57" i="30"/>
  <c r="V57" i="30"/>
  <c r="W57" i="30"/>
  <c r="C57" i="30"/>
  <c r="E56" i="30"/>
  <c r="F56" i="30"/>
  <c r="G56" i="30"/>
  <c r="H56" i="30"/>
  <c r="I56" i="30"/>
  <c r="J56" i="30"/>
  <c r="K56" i="30"/>
  <c r="L56" i="30"/>
  <c r="M56" i="30"/>
  <c r="N56" i="30"/>
  <c r="O56" i="30"/>
  <c r="P56" i="30"/>
  <c r="Q56" i="30"/>
  <c r="R56" i="30"/>
  <c r="S56" i="30"/>
  <c r="T56" i="30"/>
  <c r="U56" i="30"/>
  <c r="V56" i="30"/>
  <c r="W56" i="30"/>
  <c r="D56" i="30"/>
  <c r="E48" i="30"/>
  <c r="F48" i="30"/>
  <c r="G48" i="30"/>
  <c r="H48" i="30"/>
  <c r="I48" i="30"/>
  <c r="J48" i="30"/>
  <c r="K48" i="30"/>
  <c r="L48" i="30"/>
  <c r="M48" i="30"/>
  <c r="N48" i="30"/>
  <c r="O48" i="30"/>
  <c r="P48" i="30"/>
  <c r="Q48" i="30"/>
  <c r="R48" i="30"/>
  <c r="S48" i="30"/>
  <c r="T48" i="30"/>
  <c r="U48" i="30"/>
  <c r="V48" i="30"/>
  <c r="W48" i="30"/>
  <c r="D48" i="30"/>
  <c r="E38" i="30"/>
  <c r="F38" i="30"/>
  <c r="G38" i="30"/>
  <c r="H38" i="30"/>
  <c r="I38" i="30"/>
  <c r="J38" i="30"/>
  <c r="K38" i="30"/>
  <c r="L38" i="30"/>
  <c r="M38" i="30"/>
  <c r="N38" i="30"/>
  <c r="O38" i="30"/>
  <c r="P38" i="30"/>
  <c r="Q38" i="30"/>
  <c r="R38" i="30"/>
  <c r="S38" i="30"/>
  <c r="T38" i="30"/>
  <c r="U38" i="30"/>
  <c r="V38" i="30"/>
  <c r="W38" i="30"/>
  <c r="D38" i="30"/>
  <c r="C56" i="30"/>
  <c r="C48" i="30"/>
  <c r="C49" i="30" s="1"/>
  <c r="C38" i="30"/>
  <c r="C39" i="30" s="1"/>
  <c r="C46" i="30" s="1"/>
  <c r="B63" i="2"/>
  <c r="C29" i="30"/>
  <c r="I29" i="30" s="1"/>
  <c r="I30" i="30" s="1"/>
  <c r="I37" i="30" s="1"/>
  <c r="C13" i="30"/>
  <c r="C14" i="30"/>
  <c r="C8" i="30"/>
  <c r="P8" i="30" s="1"/>
  <c r="P9" i="30" s="1"/>
  <c r="P11" i="30" s="1"/>
  <c r="C58" i="30" l="1"/>
  <c r="C60" i="30"/>
  <c r="C61" i="30" s="1"/>
  <c r="C54" i="30"/>
  <c r="C51" i="30"/>
  <c r="H29" i="30"/>
  <c r="H30" i="30" s="1"/>
  <c r="H37" i="30" s="1"/>
  <c r="C50" i="30"/>
  <c r="C52" i="30"/>
  <c r="C53" i="30" s="1"/>
  <c r="C44" i="30"/>
  <c r="C41" i="30"/>
  <c r="F29" i="30"/>
  <c r="F30" i="30" s="1"/>
  <c r="F37" i="30" s="1"/>
  <c r="C40" i="30"/>
  <c r="D29" i="30"/>
  <c r="D30" i="30" s="1"/>
  <c r="D37" i="30" s="1"/>
  <c r="D39" i="30" s="1"/>
  <c r="D46" i="30" s="1"/>
  <c r="V29" i="30"/>
  <c r="V30" i="30" s="1"/>
  <c r="V37" i="30" s="1"/>
  <c r="I39" i="30"/>
  <c r="I46" i="30" s="1"/>
  <c r="W29" i="30"/>
  <c r="W30" i="30" s="1"/>
  <c r="W37" i="30" s="1"/>
  <c r="W39" i="30" s="1"/>
  <c r="W46" i="30" s="1"/>
  <c r="G29" i="30"/>
  <c r="G30" i="30" s="1"/>
  <c r="G37" i="30" s="1"/>
  <c r="G39" i="30" s="1"/>
  <c r="G46" i="30" s="1"/>
  <c r="U29" i="30"/>
  <c r="U30" i="30" s="1"/>
  <c r="U37" i="30" s="1"/>
  <c r="E29" i="30"/>
  <c r="E30" i="30" s="1"/>
  <c r="E37" i="30" s="1"/>
  <c r="E39" i="30" s="1"/>
  <c r="E46" i="30" s="1"/>
  <c r="P29" i="30"/>
  <c r="P30" i="30" s="1"/>
  <c r="P37" i="30" s="1"/>
  <c r="P39" i="30" s="1"/>
  <c r="P46" i="30" s="1"/>
  <c r="O29" i="30"/>
  <c r="O30" i="30" s="1"/>
  <c r="O37" i="30" s="1"/>
  <c r="O39" i="30" s="1"/>
  <c r="F39" i="30"/>
  <c r="F46" i="30" s="1"/>
  <c r="N29" i="30"/>
  <c r="N30" i="30" s="1"/>
  <c r="N37" i="30" s="1"/>
  <c r="N39" i="30" s="1"/>
  <c r="N46" i="30" s="1"/>
  <c r="M29" i="30"/>
  <c r="M30" i="30" s="1"/>
  <c r="M37" i="30" s="1"/>
  <c r="M39" i="30" s="1"/>
  <c r="M46" i="30" s="1"/>
  <c r="H39" i="30"/>
  <c r="H46" i="30" s="1"/>
  <c r="C42" i="30"/>
  <c r="H42" i="30"/>
  <c r="H40" i="30"/>
  <c r="H47" i="30"/>
  <c r="H49" i="30" s="1"/>
  <c r="H50" i="30" s="1"/>
  <c r="C47" i="30"/>
  <c r="I32" i="30"/>
  <c r="I31" i="30"/>
  <c r="I35" i="30"/>
  <c r="I33" i="30"/>
  <c r="P31" i="30"/>
  <c r="P33" i="30"/>
  <c r="M33" i="30"/>
  <c r="M32" i="30"/>
  <c r="M35" i="30"/>
  <c r="M31" i="30"/>
  <c r="D33" i="30"/>
  <c r="H35" i="30"/>
  <c r="H33" i="30"/>
  <c r="H32" i="30"/>
  <c r="H31" i="30"/>
  <c r="W31" i="30"/>
  <c r="W32" i="30"/>
  <c r="G35" i="30"/>
  <c r="G33" i="30"/>
  <c r="G31" i="30"/>
  <c r="G32" i="30"/>
  <c r="V33" i="30"/>
  <c r="F33" i="30"/>
  <c r="F32" i="30"/>
  <c r="F31" i="30"/>
  <c r="F35" i="30"/>
  <c r="E35" i="30"/>
  <c r="E32" i="30"/>
  <c r="E33" i="30"/>
  <c r="E31" i="30"/>
  <c r="T29" i="30"/>
  <c r="T30" i="30" s="1"/>
  <c r="T37" i="30" s="1"/>
  <c r="T39" i="30" s="1"/>
  <c r="T46" i="30" s="1"/>
  <c r="L29" i="30"/>
  <c r="L30" i="30" s="1"/>
  <c r="L37" i="30" s="1"/>
  <c r="C30" i="30"/>
  <c r="C37" i="30" s="1"/>
  <c r="S29" i="30"/>
  <c r="S30" i="30" s="1"/>
  <c r="S37" i="30" s="1"/>
  <c r="S39" i="30" s="1"/>
  <c r="S46" i="30" s="1"/>
  <c r="K29" i="30"/>
  <c r="K30" i="30" s="1"/>
  <c r="K37" i="30" s="1"/>
  <c r="K39" i="30" s="1"/>
  <c r="K46" i="30" s="1"/>
  <c r="R29" i="30"/>
  <c r="R30" i="30" s="1"/>
  <c r="R37" i="30" s="1"/>
  <c r="R39" i="30" s="1"/>
  <c r="J29" i="30"/>
  <c r="J30" i="30" s="1"/>
  <c r="J37" i="30" s="1"/>
  <c r="J39" i="30" s="1"/>
  <c r="J46" i="30" s="1"/>
  <c r="Q29" i="30"/>
  <c r="Q30" i="30" s="1"/>
  <c r="Q37" i="30" s="1"/>
  <c r="Q39" i="30" s="1"/>
  <c r="Q46" i="30" s="1"/>
  <c r="P21" i="30"/>
  <c r="P23" i="30"/>
  <c r="P22" i="30"/>
  <c r="P24" i="30"/>
  <c r="P18" i="30"/>
  <c r="P17" i="30"/>
  <c r="P19" i="30"/>
  <c r="P16" i="30"/>
  <c r="P12" i="30"/>
  <c r="C9" i="30"/>
  <c r="C21" i="30" s="1"/>
  <c r="P10" i="30"/>
  <c r="P25" i="30" s="1"/>
  <c r="M8" i="30"/>
  <c r="L8" i="30"/>
  <c r="K8" i="30"/>
  <c r="W8" i="30"/>
  <c r="W9" i="30" s="1"/>
  <c r="W21" i="30" s="1"/>
  <c r="V8" i="30"/>
  <c r="V9" i="30" s="1"/>
  <c r="V21" i="30" s="1"/>
  <c r="O8" i="30"/>
  <c r="O9" i="30" s="1"/>
  <c r="O21" i="30" s="1"/>
  <c r="N8" i="30"/>
  <c r="N9" i="30" s="1"/>
  <c r="N21" i="30" s="1"/>
  <c r="P13" i="30"/>
  <c r="P14" i="30"/>
  <c r="J8" i="30"/>
  <c r="T8" i="30"/>
  <c r="T9" i="30" s="1"/>
  <c r="T21" i="30" s="1"/>
  <c r="U8" i="30"/>
  <c r="U9" i="30" s="1"/>
  <c r="U21" i="30" s="1"/>
  <c r="I8" i="30"/>
  <c r="H8" i="30"/>
  <c r="S8" i="30"/>
  <c r="S9" i="30" s="1"/>
  <c r="S21" i="30" s="1"/>
  <c r="G8" i="30"/>
  <c r="R8" i="30"/>
  <c r="R9" i="30" s="1"/>
  <c r="R21" i="30" s="1"/>
  <c r="D8" i="30"/>
  <c r="D9" i="30" s="1"/>
  <c r="D21" i="30" s="1"/>
  <c r="F8" i="30"/>
  <c r="Q8" i="30"/>
  <c r="Q9" i="30" s="1"/>
  <c r="Q21" i="30" s="1"/>
  <c r="E8" i="30"/>
  <c r="K13" i="22"/>
  <c r="N13" i="22"/>
  <c r="H13" i="22"/>
  <c r="F47" i="30" l="1"/>
  <c r="F49" i="30" s="1"/>
  <c r="F50" i="30" s="1"/>
  <c r="F40" i="30"/>
  <c r="F42" i="30"/>
  <c r="D31" i="30"/>
  <c r="F52" i="30"/>
  <c r="M47" i="30"/>
  <c r="M49" i="30" s="1"/>
  <c r="N31" i="30"/>
  <c r="H52" i="30"/>
  <c r="H54" i="30"/>
  <c r="H51" i="30"/>
  <c r="O47" i="30"/>
  <c r="O49" i="30" s="1"/>
  <c r="O46" i="30"/>
  <c r="R47" i="30"/>
  <c r="R49" i="30" s="1"/>
  <c r="R46" i="30"/>
  <c r="C55" i="30"/>
  <c r="D41" i="30"/>
  <c r="D43" i="30" s="1"/>
  <c r="D44" i="30"/>
  <c r="D47" i="30"/>
  <c r="D49" i="30" s="1"/>
  <c r="V39" i="30"/>
  <c r="V46" i="30" s="1"/>
  <c r="W44" i="30"/>
  <c r="W41" i="30"/>
  <c r="P44" i="30"/>
  <c r="P41" i="30"/>
  <c r="P40" i="30"/>
  <c r="P47" i="30"/>
  <c r="P49" i="30" s="1"/>
  <c r="P42" i="30"/>
  <c r="L39" i="30"/>
  <c r="T41" i="30"/>
  <c r="T44" i="30"/>
  <c r="P35" i="30"/>
  <c r="T47" i="30"/>
  <c r="T49" i="30" s="1"/>
  <c r="F41" i="30"/>
  <c r="F44" i="30"/>
  <c r="I44" i="30"/>
  <c r="I41" i="30"/>
  <c r="R41" i="30"/>
  <c r="R44" i="30"/>
  <c r="V32" i="30"/>
  <c r="W33" i="30"/>
  <c r="D35" i="30"/>
  <c r="O31" i="30"/>
  <c r="H44" i="30"/>
  <c r="H41" i="30"/>
  <c r="H43" i="30" s="1"/>
  <c r="Q44" i="30"/>
  <c r="Q41" i="30"/>
  <c r="O44" i="30"/>
  <c r="O41" i="30"/>
  <c r="V35" i="30"/>
  <c r="O32" i="30"/>
  <c r="O34" i="30" s="1"/>
  <c r="K44" i="30"/>
  <c r="K41" i="30"/>
  <c r="V31" i="30"/>
  <c r="W35" i="30"/>
  <c r="D32" i="30"/>
  <c r="O33" i="30"/>
  <c r="M41" i="30"/>
  <c r="M44" i="30"/>
  <c r="E41" i="30"/>
  <c r="E44" i="30"/>
  <c r="S41" i="30"/>
  <c r="S44" i="30"/>
  <c r="G34" i="30"/>
  <c r="O35" i="30"/>
  <c r="U39" i="30"/>
  <c r="U46" i="30" s="1"/>
  <c r="J41" i="30"/>
  <c r="J44" i="30"/>
  <c r="P32" i="30"/>
  <c r="P34" i="30" s="1"/>
  <c r="P36" i="30" s="1"/>
  <c r="S47" i="30"/>
  <c r="S49" i="30" s="1"/>
  <c r="N41" i="30"/>
  <c r="N44" i="30"/>
  <c r="G44" i="30"/>
  <c r="G41" i="30"/>
  <c r="C43" i="30"/>
  <c r="C45" i="30" s="1"/>
  <c r="G40" i="30"/>
  <c r="G47" i="30"/>
  <c r="G49" i="30" s="1"/>
  <c r="G42" i="30"/>
  <c r="E40" i="30"/>
  <c r="W40" i="30"/>
  <c r="U31" i="30"/>
  <c r="N32" i="30"/>
  <c r="D40" i="30"/>
  <c r="K47" i="30"/>
  <c r="K49" i="30" s="1"/>
  <c r="Q47" i="30"/>
  <c r="Q49" i="30" s="1"/>
  <c r="N47" i="30"/>
  <c r="N49" i="30" s="1"/>
  <c r="N35" i="30"/>
  <c r="J47" i="30"/>
  <c r="J49" i="30" s="1"/>
  <c r="D42" i="30"/>
  <c r="N33" i="30"/>
  <c r="N34" i="30" s="1"/>
  <c r="N36" i="30" s="1"/>
  <c r="R40" i="30"/>
  <c r="R42" i="30"/>
  <c r="M40" i="30"/>
  <c r="M42" i="30"/>
  <c r="M43" i="30" s="1"/>
  <c r="N40" i="30"/>
  <c r="N42" i="30"/>
  <c r="J40" i="30"/>
  <c r="J42" i="30"/>
  <c r="J43" i="30" s="1"/>
  <c r="S40" i="30"/>
  <c r="S42" i="30"/>
  <c r="T42" i="30"/>
  <c r="T40" i="30"/>
  <c r="Q42" i="30"/>
  <c r="Q40" i="30"/>
  <c r="O42" i="30"/>
  <c r="O43" i="30" s="1"/>
  <c r="O40" i="30"/>
  <c r="U32" i="30"/>
  <c r="U34" i="30" s="1"/>
  <c r="F43" i="30"/>
  <c r="H34" i="30"/>
  <c r="H36" i="30" s="1"/>
  <c r="K40" i="30"/>
  <c r="K42" i="30"/>
  <c r="G36" i="30"/>
  <c r="O36" i="30"/>
  <c r="U33" i="30"/>
  <c r="W34" i="30"/>
  <c r="U35" i="30"/>
  <c r="G43" i="30"/>
  <c r="S32" i="30"/>
  <c r="S31" i="30"/>
  <c r="S35" i="30"/>
  <c r="S33" i="30"/>
  <c r="C35" i="30"/>
  <c r="C33" i="30"/>
  <c r="C32" i="30"/>
  <c r="C31" i="30"/>
  <c r="L32" i="30"/>
  <c r="L35" i="30"/>
  <c r="L33" i="30"/>
  <c r="L31" i="30"/>
  <c r="T32" i="30"/>
  <c r="T35" i="30"/>
  <c r="T33" i="30"/>
  <c r="T31" i="30"/>
  <c r="D34" i="30"/>
  <c r="D36" i="30" s="1"/>
  <c r="Q32" i="30"/>
  <c r="Q35" i="30"/>
  <c r="Q33" i="30"/>
  <c r="Q31" i="30"/>
  <c r="V34" i="30"/>
  <c r="V36" i="30" s="1"/>
  <c r="J31" i="30"/>
  <c r="J32" i="30"/>
  <c r="J35" i="30"/>
  <c r="J33" i="30"/>
  <c r="R31" i="30"/>
  <c r="R32" i="30"/>
  <c r="R35" i="30"/>
  <c r="R33" i="30"/>
  <c r="E34" i="30"/>
  <c r="E36" i="30" s="1"/>
  <c r="F34" i="30"/>
  <c r="F36" i="30" s="1"/>
  <c r="M34" i="30"/>
  <c r="M36" i="30" s="1"/>
  <c r="K33" i="30"/>
  <c r="K31" i="30"/>
  <c r="K35" i="30"/>
  <c r="K32" i="30"/>
  <c r="I34" i="30"/>
  <c r="I36" i="30" s="1"/>
  <c r="N22" i="30"/>
  <c r="N23" i="30"/>
  <c r="N24" i="30"/>
  <c r="D14" i="30"/>
  <c r="D23" i="30"/>
  <c r="D24" i="30"/>
  <c r="D22" i="30"/>
  <c r="S23" i="30"/>
  <c r="S24" i="30"/>
  <c r="S22" i="30"/>
  <c r="O24" i="30"/>
  <c r="O22" i="30"/>
  <c r="O23" i="30"/>
  <c r="C24" i="30"/>
  <c r="C22" i="30"/>
  <c r="C23" i="30"/>
  <c r="V22" i="30"/>
  <c r="V23" i="30"/>
  <c r="V24" i="30"/>
  <c r="R23" i="30"/>
  <c r="R24" i="30"/>
  <c r="R22" i="30"/>
  <c r="U22" i="30"/>
  <c r="U23" i="30"/>
  <c r="U24" i="30"/>
  <c r="W24" i="30"/>
  <c r="W22" i="30"/>
  <c r="W23" i="30"/>
  <c r="Q24" i="30"/>
  <c r="Q22" i="30"/>
  <c r="Q23" i="30"/>
  <c r="T23" i="30"/>
  <c r="T24" i="30"/>
  <c r="T22" i="30"/>
  <c r="W19" i="30"/>
  <c r="W17" i="30"/>
  <c r="W18" i="30"/>
  <c r="W16" i="30"/>
  <c r="C10" i="30"/>
  <c r="C25" i="30" s="1"/>
  <c r="C16" i="30"/>
  <c r="C19" i="30"/>
  <c r="C17" i="30"/>
  <c r="C18" i="30"/>
  <c r="T12" i="30"/>
  <c r="T18" i="30"/>
  <c r="T19" i="30"/>
  <c r="T17" i="30"/>
  <c r="T16" i="30"/>
  <c r="R12" i="30"/>
  <c r="R18" i="30"/>
  <c r="R17" i="30"/>
  <c r="R16" i="30"/>
  <c r="R19" i="30"/>
  <c r="Q12" i="30"/>
  <c r="Q16" i="30"/>
  <c r="Q19" i="30"/>
  <c r="Q17" i="30"/>
  <c r="Q18" i="30"/>
  <c r="P15" i="30"/>
  <c r="P20" i="30"/>
  <c r="U12" i="30"/>
  <c r="U17" i="30"/>
  <c r="U16" i="30"/>
  <c r="U18" i="30"/>
  <c r="U19" i="30"/>
  <c r="S12" i="30"/>
  <c r="S18" i="30"/>
  <c r="S16" i="30"/>
  <c r="S19" i="30"/>
  <c r="S17" i="30"/>
  <c r="O19" i="30"/>
  <c r="O17" i="30"/>
  <c r="O18" i="30"/>
  <c r="O16" i="30"/>
  <c r="D12" i="30"/>
  <c r="D18" i="30"/>
  <c r="D19" i="30"/>
  <c r="D16" i="30"/>
  <c r="D17" i="30"/>
  <c r="N12" i="30"/>
  <c r="N17" i="30"/>
  <c r="N18" i="30"/>
  <c r="N16" i="30"/>
  <c r="N19" i="30"/>
  <c r="V17" i="30"/>
  <c r="V18" i="30"/>
  <c r="V16" i="30"/>
  <c r="V19" i="30"/>
  <c r="D13" i="30"/>
  <c r="O10" i="30"/>
  <c r="O25" i="30" s="1"/>
  <c r="O12" i="30"/>
  <c r="C11" i="30"/>
  <c r="C12" i="30"/>
  <c r="V10" i="30"/>
  <c r="V25" i="30" s="1"/>
  <c r="V12" i="30"/>
  <c r="W10" i="30"/>
  <c r="W25" i="30" s="1"/>
  <c r="W12" i="30"/>
  <c r="S11" i="30"/>
  <c r="S10" i="30"/>
  <c r="S25" i="30" s="1"/>
  <c r="Q11" i="30"/>
  <c r="Q10" i="30"/>
  <c r="Q25" i="30" s="1"/>
  <c r="T11" i="30"/>
  <c r="T10" i="30"/>
  <c r="T25" i="30" s="1"/>
  <c r="U11" i="30"/>
  <c r="U10" i="30"/>
  <c r="U25" i="30" s="1"/>
  <c r="D11" i="30"/>
  <c r="D10" i="30"/>
  <c r="D25" i="30" s="1"/>
  <c r="N13" i="30"/>
  <c r="N10" i="30"/>
  <c r="N25" i="30" s="1"/>
  <c r="R11" i="30"/>
  <c r="R10" i="30"/>
  <c r="R25" i="30" s="1"/>
  <c r="O13" i="30"/>
  <c r="O11" i="30"/>
  <c r="V13" i="30"/>
  <c r="V11" i="30"/>
  <c r="W13" i="30"/>
  <c r="W11" i="30"/>
  <c r="N14" i="30"/>
  <c r="N11" i="30"/>
  <c r="O14" i="30"/>
  <c r="V14" i="30"/>
  <c r="W14" i="30"/>
  <c r="U14" i="30"/>
  <c r="U13" i="30"/>
  <c r="S14" i="30"/>
  <c r="S13" i="30"/>
  <c r="T14" i="30"/>
  <c r="T13" i="30"/>
  <c r="Q13" i="30"/>
  <c r="Q14" i="30"/>
  <c r="R13" i="30"/>
  <c r="R14" i="30"/>
  <c r="E9" i="30"/>
  <c r="E21" i="30" s="1"/>
  <c r="B101" i="2"/>
  <c r="N43" i="30" l="1"/>
  <c r="N45" i="30" s="1"/>
  <c r="U42" i="30"/>
  <c r="F54" i="30"/>
  <c r="F55" i="30" s="1"/>
  <c r="R43" i="30"/>
  <c r="P43" i="30"/>
  <c r="F51" i="30"/>
  <c r="F53" i="30" s="1"/>
  <c r="P54" i="30"/>
  <c r="P52" i="30"/>
  <c r="P51" i="30"/>
  <c r="P50" i="30"/>
  <c r="M51" i="30"/>
  <c r="M54" i="30"/>
  <c r="M52" i="30"/>
  <c r="M50" i="30"/>
  <c r="Q54" i="30"/>
  <c r="Q51" i="30"/>
  <c r="Q50" i="30"/>
  <c r="Q52" i="30"/>
  <c r="K43" i="30"/>
  <c r="U40" i="30"/>
  <c r="T51" i="30"/>
  <c r="T54" i="30"/>
  <c r="T52" i="30"/>
  <c r="T50" i="30"/>
  <c r="R51" i="30"/>
  <c r="R54" i="30"/>
  <c r="R52" i="30"/>
  <c r="R50" i="30"/>
  <c r="L47" i="30"/>
  <c r="L49" i="30" s="1"/>
  <c r="L46" i="30"/>
  <c r="J51" i="30"/>
  <c r="J54" i="30"/>
  <c r="J50" i="30"/>
  <c r="J52" i="30"/>
  <c r="P45" i="30"/>
  <c r="G54" i="30"/>
  <c r="G51" i="30"/>
  <c r="G50" i="30"/>
  <c r="G52" i="30"/>
  <c r="K51" i="30"/>
  <c r="K54" i="30"/>
  <c r="K52" i="30"/>
  <c r="K50" i="30"/>
  <c r="D54" i="30"/>
  <c r="D51" i="30"/>
  <c r="D52" i="30"/>
  <c r="D50" i="30"/>
  <c r="W36" i="30"/>
  <c r="O54" i="30"/>
  <c r="O51" i="30"/>
  <c r="O50" i="30"/>
  <c r="O52" i="30"/>
  <c r="N51" i="30"/>
  <c r="N54" i="30"/>
  <c r="N52" i="30"/>
  <c r="N50" i="30"/>
  <c r="S51" i="30"/>
  <c r="S54" i="30"/>
  <c r="S50" i="30"/>
  <c r="S52" i="30"/>
  <c r="T43" i="30"/>
  <c r="T45" i="30" s="1"/>
  <c r="H53" i="30"/>
  <c r="H55" i="30" s="1"/>
  <c r="R45" i="30"/>
  <c r="Q43" i="30"/>
  <c r="Q45" i="30" s="1"/>
  <c r="K45" i="30"/>
  <c r="H45" i="30"/>
  <c r="V41" i="30"/>
  <c r="V44" i="30"/>
  <c r="V40" i="30"/>
  <c r="V42" i="30"/>
  <c r="J45" i="30"/>
  <c r="L41" i="30"/>
  <c r="L44" i="30"/>
  <c r="L42" i="30"/>
  <c r="U41" i="30"/>
  <c r="U43" i="30" s="1"/>
  <c r="U44" i="30"/>
  <c r="M45" i="30"/>
  <c r="F45" i="30"/>
  <c r="V47" i="30"/>
  <c r="V49" i="30" s="1"/>
  <c r="L40" i="30"/>
  <c r="G45" i="30"/>
  <c r="U47" i="30"/>
  <c r="U49" i="30" s="1"/>
  <c r="S43" i="30"/>
  <c r="S45" i="30" s="1"/>
  <c r="D45" i="30"/>
  <c r="O45" i="30"/>
  <c r="E47" i="30"/>
  <c r="E49" i="30" s="1"/>
  <c r="E42" i="30"/>
  <c r="E43" i="30" s="1"/>
  <c r="E45" i="30" s="1"/>
  <c r="I47" i="30"/>
  <c r="I49" i="30" s="1"/>
  <c r="I40" i="30"/>
  <c r="I42" i="30"/>
  <c r="I43" i="30" s="1"/>
  <c r="I45" i="30" s="1"/>
  <c r="W42" i="30"/>
  <c r="W47" i="30"/>
  <c r="W49" i="30" s="1"/>
  <c r="C34" i="30"/>
  <c r="C36" i="30" s="1"/>
  <c r="J34" i="30"/>
  <c r="J36" i="30" s="1"/>
  <c r="T34" i="30"/>
  <c r="T36" i="30" s="1"/>
  <c r="K34" i="30"/>
  <c r="K36" i="30" s="1"/>
  <c r="U36" i="30"/>
  <c r="R34" i="30"/>
  <c r="R36" i="30" s="1"/>
  <c r="L34" i="30"/>
  <c r="L36" i="30" s="1"/>
  <c r="Q34" i="30"/>
  <c r="Q36" i="30" s="1"/>
  <c r="S34" i="30"/>
  <c r="S36" i="30" s="1"/>
  <c r="E22" i="30"/>
  <c r="E23" i="30"/>
  <c r="E24" i="30"/>
  <c r="D15" i="30"/>
  <c r="D20" i="30"/>
  <c r="S15" i="30"/>
  <c r="S20" i="30"/>
  <c r="C15" i="30"/>
  <c r="C20" i="30"/>
  <c r="U15" i="30"/>
  <c r="U20" i="30"/>
  <c r="W15" i="30"/>
  <c r="W20" i="30"/>
  <c r="R15" i="30"/>
  <c r="R20" i="30"/>
  <c r="T15" i="30"/>
  <c r="T20" i="30"/>
  <c r="E12" i="30"/>
  <c r="E17" i="30"/>
  <c r="E18" i="30"/>
  <c r="E16" i="30"/>
  <c r="E19" i="30"/>
  <c r="N15" i="30"/>
  <c r="N20" i="30"/>
  <c r="Q15" i="30"/>
  <c r="Q20" i="30"/>
  <c r="V15" i="30"/>
  <c r="V20" i="30"/>
  <c r="O15" i="30"/>
  <c r="O20" i="30"/>
  <c r="E11" i="30"/>
  <c r="E10" i="30"/>
  <c r="E25" i="30" s="1"/>
  <c r="E13" i="30"/>
  <c r="E14" i="30"/>
  <c r="F9" i="30"/>
  <c r="F21" i="30" s="1"/>
  <c r="B97" i="2"/>
  <c r="P53" i="30" l="1"/>
  <c r="H58" i="30"/>
  <c r="H60" i="30"/>
  <c r="N53" i="30"/>
  <c r="N55" i="30" s="1"/>
  <c r="G53" i="30"/>
  <c r="T53" i="30"/>
  <c r="T55" i="30" s="1"/>
  <c r="F60" i="30"/>
  <c r="F58" i="30"/>
  <c r="K53" i="30"/>
  <c r="D53" i="30"/>
  <c r="D55" i="30" s="1"/>
  <c r="E51" i="30"/>
  <c r="E54" i="30"/>
  <c r="E52" i="30"/>
  <c r="E50" i="30"/>
  <c r="V51" i="30"/>
  <c r="V54" i="30"/>
  <c r="V52" i="30"/>
  <c r="V50" i="30"/>
  <c r="O53" i="30"/>
  <c r="G55" i="30"/>
  <c r="W54" i="30"/>
  <c r="W51" i="30"/>
  <c r="W52" i="30"/>
  <c r="W50" i="30"/>
  <c r="S53" i="30"/>
  <c r="S55" i="30" s="1"/>
  <c r="O55" i="30"/>
  <c r="K55" i="30"/>
  <c r="M53" i="30"/>
  <c r="M55" i="30" s="1"/>
  <c r="R53" i="30"/>
  <c r="R55" i="30" s="1"/>
  <c r="L51" i="30"/>
  <c r="L54" i="30"/>
  <c r="L52" i="30"/>
  <c r="L50" i="30"/>
  <c r="Q53" i="30"/>
  <c r="Q55" i="30" s="1"/>
  <c r="I54" i="30"/>
  <c r="I51" i="30"/>
  <c r="I50" i="30"/>
  <c r="I52" i="30"/>
  <c r="U51" i="30"/>
  <c r="U54" i="30"/>
  <c r="U50" i="30"/>
  <c r="U52" i="30"/>
  <c r="J53" i="30"/>
  <c r="J55" i="30" s="1"/>
  <c r="P55" i="30"/>
  <c r="U45" i="30"/>
  <c r="L43" i="30"/>
  <c r="L45" i="30" s="1"/>
  <c r="V43" i="30"/>
  <c r="V45" i="30" s="1"/>
  <c r="W43" i="30"/>
  <c r="W45" i="30" s="1"/>
  <c r="F22" i="30"/>
  <c r="F23" i="30"/>
  <c r="F24" i="30"/>
  <c r="F12" i="30"/>
  <c r="F17" i="30"/>
  <c r="F18" i="30"/>
  <c r="F16" i="30"/>
  <c r="F19" i="30"/>
  <c r="E15" i="30"/>
  <c r="E20" i="30"/>
  <c r="F11" i="30"/>
  <c r="F10" i="30"/>
  <c r="F25" i="30" s="1"/>
  <c r="F13" i="30"/>
  <c r="F14" i="30"/>
  <c r="G9" i="30"/>
  <c r="G21" i="30" s="1"/>
  <c r="P20" i="22"/>
  <c r="P13" i="22" s="1"/>
  <c r="O20" i="22"/>
  <c r="O13" i="22" s="1"/>
  <c r="M20" i="22"/>
  <c r="M13" i="22" s="1"/>
  <c r="L20" i="22"/>
  <c r="L13" i="22" s="1"/>
  <c r="J20" i="22"/>
  <c r="J13" i="22" s="1"/>
  <c r="I20" i="22"/>
  <c r="P22" i="22"/>
  <c r="O22" i="22"/>
  <c r="M22" i="22"/>
  <c r="L22" i="22"/>
  <c r="J21" i="22"/>
  <c r="I21" i="22"/>
  <c r="T60" i="30" l="1"/>
  <c r="T58" i="30"/>
  <c r="T61" i="30"/>
  <c r="M58" i="30"/>
  <c r="M60" i="30"/>
  <c r="Q60" i="30"/>
  <c r="Q61" i="30"/>
  <c r="Q58" i="30"/>
  <c r="J60" i="30"/>
  <c r="J61" i="30"/>
  <c r="J58" i="30"/>
  <c r="K58" i="30"/>
  <c r="K60" i="30"/>
  <c r="O60" i="30"/>
  <c r="O61" i="30"/>
  <c r="O58" i="30"/>
  <c r="S61" i="30"/>
  <c r="S60" i="30"/>
  <c r="S58" i="30"/>
  <c r="G58" i="30"/>
  <c r="G60" i="30"/>
  <c r="N60" i="30"/>
  <c r="N58" i="30"/>
  <c r="U53" i="30"/>
  <c r="F61" i="30"/>
  <c r="P58" i="30"/>
  <c r="P61" i="30"/>
  <c r="P60" i="30"/>
  <c r="W53" i="30"/>
  <c r="W55" i="30" s="1"/>
  <c r="R60" i="30"/>
  <c r="R58" i="30"/>
  <c r="H61" i="30"/>
  <c r="D60" i="30"/>
  <c r="D58" i="30"/>
  <c r="D61" i="30"/>
  <c r="I53" i="30"/>
  <c r="I55" i="30" s="1"/>
  <c r="L53" i="30"/>
  <c r="L55" i="30" s="1"/>
  <c r="V53" i="30"/>
  <c r="V55" i="30" s="1"/>
  <c r="U55" i="30"/>
  <c r="E53" i="30"/>
  <c r="E55" i="30" s="1"/>
  <c r="G24" i="30"/>
  <c r="G22" i="30"/>
  <c r="G23" i="30"/>
  <c r="G12" i="30"/>
  <c r="G19" i="30"/>
  <c r="G18" i="30"/>
  <c r="G16" i="30"/>
  <c r="G17" i="30"/>
  <c r="F15" i="30"/>
  <c r="F20" i="30"/>
  <c r="G11" i="30"/>
  <c r="G10" i="30"/>
  <c r="G25" i="30" s="1"/>
  <c r="G13" i="30"/>
  <c r="G14" i="30"/>
  <c r="H9" i="30"/>
  <c r="H21" i="30" s="1"/>
  <c r="I13" i="22"/>
  <c r="B98" i="2"/>
  <c r="R61" i="30" l="1"/>
  <c r="I60" i="30"/>
  <c r="I58" i="30"/>
  <c r="M61" i="30"/>
  <c r="E58" i="30"/>
  <c r="E60" i="30"/>
  <c r="U60" i="30"/>
  <c r="U58" i="30"/>
  <c r="G61" i="30"/>
  <c r="V60" i="30"/>
  <c r="V58" i="30"/>
  <c r="K61" i="30"/>
  <c r="N61" i="30"/>
  <c r="L60" i="30"/>
  <c r="L58" i="30"/>
  <c r="W60" i="30"/>
  <c r="W58" i="30"/>
  <c r="H24" i="30"/>
  <c r="H22" i="30"/>
  <c r="H23" i="30"/>
  <c r="H12" i="30"/>
  <c r="H16" i="30"/>
  <c r="H19" i="30"/>
  <c r="H17" i="30"/>
  <c r="H18" i="30"/>
  <c r="G15" i="30"/>
  <c r="G20" i="30"/>
  <c r="H11" i="30"/>
  <c r="H10" i="30"/>
  <c r="H25" i="30" s="1"/>
  <c r="H13" i="30"/>
  <c r="H14" i="30"/>
  <c r="I9" i="30"/>
  <c r="I21" i="30" s="1"/>
  <c r="B100" i="2"/>
  <c r="B99" i="2"/>
  <c r="U61" i="30" l="1"/>
  <c r="I61" i="30"/>
  <c r="E61" i="30"/>
  <c r="V61" i="30"/>
  <c r="W61" i="30"/>
  <c r="L61" i="30"/>
  <c r="I24" i="30"/>
  <c r="I22" i="30"/>
  <c r="I23" i="30"/>
  <c r="I12" i="30"/>
  <c r="I16" i="30"/>
  <c r="I19" i="30"/>
  <c r="I17" i="30"/>
  <c r="I18" i="30"/>
  <c r="H15" i="30"/>
  <c r="H20" i="30"/>
  <c r="I11" i="30"/>
  <c r="I10" i="30"/>
  <c r="I25" i="30" s="1"/>
  <c r="I13" i="30"/>
  <c r="I14" i="30"/>
  <c r="J9" i="30"/>
  <c r="J21" i="30" s="1"/>
  <c r="C121" i="14"/>
  <c r="C122" i="14"/>
  <c r="J23" i="30" l="1"/>
  <c r="J24" i="30"/>
  <c r="J22" i="30"/>
  <c r="J12" i="30"/>
  <c r="J18" i="30"/>
  <c r="J16" i="30"/>
  <c r="J17" i="30"/>
  <c r="J19" i="30"/>
  <c r="I15" i="30"/>
  <c r="I20" i="30"/>
  <c r="J11" i="30"/>
  <c r="J10" i="30"/>
  <c r="J25" i="30" s="1"/>
  <c r="J14" i="30"/>
  <c r="J13" i="30"/>
  <c r="K9" i="30"/>
  <c r="K21" i="30" s="1"/>
  <c r="C138" i="14"/>
  <c r="K23" i="30" l="1"/>
  <c r="K24" i="30"/>
  <c r="K22" i="30"/>
  <c r="K12" i="30"/>
  <c r="K18" i="30"/>
  <c r="K16" i="30"/>
  <c r="K19" i="30"/>
  <c r="K17" i="30"/>
  <c r="J15" i="30"/>
  <c r="J20" i="30"/>
  <c r="K11" i="30"/>
  <c r="K10" i="30"/>
  <c r="K25" i="30" s="1"/>
  <c r="K14" i="30"/>
  <c r="K13" i="30"/>
  <c r="M9" i="30"/>
  <c r="M21" i="30" s="1"/>
  <c r="L9" i="30"/>
  <c r="L21" i="30" s="1"/>
  <c r="C22" i="25"/>
  <c r="C21" i="25"/>
  <c r="C93" i="25"/>
  <c r="C13" i="25"/>
  <c r="M22" i="30" l="1"/>
  <c r="M23" i="30"/>
  <c r="M24" i="30"/>
  <c r="L23" i="30"/>
  <c r="L24" i="30"/>
  <c r="L22" i="30"/>
  <c r="L12" i="30"/>
  <c r="L19" i="30"/>
  <c r="L18" i="30"/>
  <c r="L16" i="30"/>
  <c r="L17" i="30"/>
  <c r="M12" i="30"/>
  <c r="M17" i="30"/>
  <c r="M16" i="30"/>
  <c r="M18" i="30"/>
  <c r="M19" i="30"/>
  <c r="K15" i="30"/>
  <c r="K20" i="30"/>
  <c r="M11" i="30"/>
  <c r="M10" i="30"/>
  <c r="M25" i="30" s="1"/>
  <c r="L11" i="30"/>
  <c r="L10" i="30"/>
  <c r="L25" i="30" s="1"/>
  <c r="L14" i="30"/>
  <c r="L13" i="30"/>
  <c r="M13" i="30"/>
  <c r="M14" i="30"/>
  <c r="I9" i="23"/>
  <c r="B102" i="2" s="1"/>
  <c r="L15" i="30" l="1"/>
  <c r="L20" i="30"/>
  <c r="M15" i="30"/>
  <c r="M20" i="30"/>
  <c r="G15" i="2"/>
  <c r="C15" i="2"/>
  <c r="B15" i="2"/>
  <c r="C150" i="14" l="1"/>
  <c r="C164" i="14"/>
  <c r="C17" i="2" l="1"/>
  <c r="D17" i="2"/>
  <c r="E17" i="2"/>
  <c r="F17" i="2"/>
  <c r="G17" i="2"/>
  <c r="B17" i="2"/>
  <c r="C16" i="2" l="1"/>
  <c r="D16" i="2"/>
  <c r="E16" i="2"/>
  <c r="F16" i="2"/>
  <c r="G16" i="2"/>
  <c r="G26" i="2" s="1"/>
  <c r="G20" i="2" s="1"/>
  <c r="B16" i="2"/>
  <c r="B26" i="2" l="1"/>
  <c r="B20" i="2" s="1"/>
  <c r="C26" i="2"/>
  <c r="C20" i="2" s="1"/>
  <c r="B19" i="2"/>
  <c r="C19" i="2"/>
  <c r="B49" i="2"/>
  <c r="G19" i="2"/>
  <c r="G22" i="2" l="1"/>
  <c r="G28" i="2" l="1"/>
  <c r="C100" i="14" s="1"/>
  <c r="G40" i="2"/>
  <c r="G46" i="2"/>
  <c r="G27" i="2"/>
  <c r="G41" i="2"/>
  <c r="G42" i="2"/>
  <c r="G45" i="2"/>
  <c r="G44" i="2"/>
  <c r="G43" i="2"/>
  <c r="B22" i="2"/>
  <c r="G25" i="2"/>
  <c r="G24" i="2"/>
  <c r="G35" i="2"/>
  <c r="B28" i="2" l="1"/>
  <c r="B41" i="2"/>
  <c r="B43" i="2"/>
  <c r="B45" i="2"/>
  <c r="B40" i="2"/>
  <c r="B42" i="2"/>
  <c r="B44" i="2"/>
  <c r="B46" i="2"/>
  <c r="C106" i="14"/>
  <c r="C107" i="14"/>
  <c r="C109" i="14"/>
  <c r="C104" i="14"/>
  <c r="C105" i="14"/>
  <c r="C108" i="14"/>
  <c r="C99" i="14"/>
  <c r="B25" i="2"/>
  <c r="B27" i="2"/>
  <c r="B24" i="2"/>
  <c r="B35" i="2"/>
  <c r="C97" i="14"/>
  <c r="C98" i="14"/>
  <c r="C103" i="14"/>
  <c r="C57" i="2"/>
  <c r="D57" i="2"/>
  <c r="E57" i="2"/>
  <c r="B57" i="2"/>
  <c r="B76" i="2"/>
  <c r="C14" i="19"/>
  <c r="C41" i="19" s="1"/>
  <c r="C13" i="19"/>
  <c r="C40" i="19" s="1"/>
  <c r="C12" i="19"/>
  <c r="C39" i="19" s="1"/>
  <c r="C11" i="19"/>
  <c r="C38" i="19" s="1"/>
  <c r="C76" i="14" l="1"/>
  <c r="C82" i="14"/>
  <c r="C81" i="14"/>
  <c r="C83" i="14"/>
  <c r="C85" i="14"/>
  <c r="C84" i="14"/>
  <c r="C80" i="14"/>
  <c r="C75" i="14"/>
  <c r="C74" i="14"/>
  <c r="C79" i="14"/>
  <c r="C73" i="14"/>
  <c r="B84" i="2"/>
  <c r="B85" i="2" s="1"/>
  <c r="B77" i="2"/>
  <c r="B86" i="2" l="1"/>
  <c r="K5" i="23"/>
  <c r="M6" i="23"/>
  <c r="J5" i="23"/>
  <c r="B87" i="2"/>
  <c r="L6" i="23"/>
  <c r="J11" i="23" l="1"/>
  <c r="B89" i="2"/>
  <c r="L15" i="23"/>
  <c r="K15" i="23"/>
  <c r="M15" i="23"/>
  <c r="J15" i="23"/>
  <c r="L11" i="23"/>
  <c r="B88" i="2"/>
  <c r="C126" i="14"/>
  <c r="C125" i="14"/>
  <c r="C124" i="14"/>
  <c r="C123" i="14"/>
  <c r="M9" i="23" l="1"/>
  <c r="K9" i="23"/>
  <c r="M11" i="23"/>
  <c r="K11" i="23"/>
  <c r="B61" i="2"/>
  <c r="B73" i="2" l="1"/>
  <c r="H7" i="17" s="1"/>
  <c r="B70" i="2"/>
  <c r="B62" i="2"/>
  <c r="H4" i="17"/>
  <c r="I4" i="17"/>
  <c r="E61" i="2"/>
  <c r="D61" i="2"/>
  <c r="C61" i="2"/>
  <c r="C72" i="2" s="1"/>
  <c r="I7" i="17" l="1"/>
  <c r="K6" i="17"/>
  <c r="J6" i="17"/>
  <c r="H5" i="17"/>
  <c r="E70" i="2"/>
  <c r="C70" i="2"/>
  <c r="D70" i="2"/>
  <c r="E62" i="2"/>
  <c r="C62" i="2"/>
  <c r="D62" i="2"/>
  <c r="H18" i="17"/>
  <c r="I18" i="17"/>
  <c r="K4" i="17"/>
  <c r="J4" i="17"/>
  <c r="J24" i="17" s="1"/>
  <c r="L4" i="17"/>
  <c r="M4" i="17"/>
  <c r="O4" i="17"/>
  <c r="N4" i="17"/>
  <c r="L5" i="17" l="1"/>
  <c r="J5" i="17"/>
  <c r="N5" i="17"/>
  <c r="J18" i="17"/>
  <c r="M18" i="17"/>
  <c r="N18" i="17"/>
  <c r="K23" i="17"/>
  <c r="K24" i="17"/>
  <c r="J23" i="17"/>
  <c r="L18" i="17"/>
  <c r="O18" i="17"/>
  <c r="K18" i="17"/>
  <c r="E14" i="2" l="1"/>
  <c r="E31" i="2" s="1"/>
  <c r="D14" i="2" l="1"/>
  <c r="B14" i="2"/>
  <c r="F14" i="2"/>
  <c r="F31" i="2" s="1"/>
  <c r="G14" i="2"/>
  <c r="G39" i="2" s="1"/>
  <c r="C14" i="2"/>
  <c r="B39" i="2" l="1"/>
  <c r="D31" i="2"/>
  <c r="B31" i="2"/>
  <c r="G31" i="2"/>
  <c r="B34" i="2"/>
  <c r="G34" i="2"/>
  <c r="E32" i="2"/>
  <c r="C25" i="14" s="1"/>
  <c r="B50" i="2"/>
  <c r="C165" i="14"/>
  <c r="C163" i="14"/>
  <c r="C162" i="14"/>
  <c r="C102" i="14" l="1"/>
  <c r="C78" i="14"/>
  <c r="B64" i="2"/>
  <c r="E64" i="2"/>
  <c r="E63" i="2"/>
  <c r="D63" i="2"/>
  <c r="C64" i="2"/>
  <c r="C63" i="2"/>
  <c r="D64" i="2"/>
  <c r="F32" i="2"/>
  <c r="G32" i="2"/>
  <c r="M17" i="17" l="1"/>
  <c r="K17" i="17"/>
  <c r="J17" i="17"/>
  <c r="L17" i="17"/>
  <c r="N17" i="17"/>
  <c r="H17" i="17"/>
  <c r="I17" i="17"/>
  <c r="C101" i="14"/>
  <c r="B65" i="2"/>
  <c r="B71" i="2" s="1"/>
  <c r="O17" i="17"/>
  <c r="E65" i="2"/>
  <c r="E71" i="2" s="1"/>
  <c r="D65" i="2"/>
  <c r="D71" i="2" s="1"/>
  <c r="C65" i="2"/>
  <c r="C71" i="2" s="1"/>
  <c r="D32" i="2"/>
  <c r="C13" i="14" s="1"/>
  <c r="C37" i="14"/>
  <c r="K5" i="17" l="1"/>
  <c r="O5" i="17"/>
  <c r="I5" i="17"/>
  <c r="M5" i="17"/>
  <c r="M16" i="17"/>
  <c r="I16" i="17"/>
  <c r="O16" i="17"/>
  <c r="B32" i="2" l="1"/>
  <c r="C77" i="14" l="1"/>
  <c r="C22" i="2" l="1"/>
  <c r="C28" i="2" l="1"/>
  <c r="C52" i="14" s="1"/>
  <c r="C40" i="2"/>
  <c r="C39" i="2"/>
  <c r="C46" i="2"/>
  <c r="C27" i="2"/>
  <c r="C44" i="2"/>
  <c r="C43" i="2"/>
  <c r="C42" i="2"/>
  <c r="C45" i="2"/>
  <c r="C24" i="2"/>
  <c r="C49" i="14" s="1"/>
  <c r="C41" i="2"/>
  <c r="C25" i="2"/>
  <c r="C31" i="2"/>
  <c r="C32" i="2" s="1"/>
  <c r="C35" i="2"/>
  <c r="C34" i="2"/>
  <c r="C57" i="14" l="1"/>
  <c r="C58" i="14"/>
  <c r="C56" i="14"/>
  <c r="C60" i="14"/>
  <c r="C59" i="14"/>
  <c r="C61" i="14"/>
  <c r="C51" i="14"/>
  <c r="C53" i="14"/>
  <c r="C50" i="14"/>
  <c r="C55" i="14"/>
  <c r="C54" i="14"/>
</calcChain>
</file>

<file path=xl/sharedStrings.xml><?xml version="1.0" encoding="utf-8"?>
<sst xmlns="http://schemas.openxmlformats.org/spreadsheetml/2006/main" count="3079" uniqueCount="577">
  <si>
    <t>Database</t>
  </si>
  <si>
    <t>Activity</t>
  </si>
  <si>
    <t>comment</t>
  </si>
  <si>
    <t>location</t>
  </si>
  <si>
    <t>production amount</t>
  </si>
  <si>
    <t>type</t>
  </si>
  <si>
    <t>unit</t>
  </si>
  <si>
    <t>kilogram</t>
  </si>
  <si>
    <t>Exchanges</t>
  </si>
  <si>
    <t>name</t>
  </si>
  <si>
    <t>reference product</t>
  </si>
  <si>
    <t>amount</t>
  </si>
  <si>
    <t>database</t>
  </si>
  <si>
    <t>categories</t>
  </si>
  <si>
    <t>production</t>
  </si>
  <si>
    <t>GLO</t>
  </si>
  <si>
    <t>biosphere3</t>
  </si>
  <si>
    <t>biosphere</t>
  </si>
  <si>
    <t>source</t>
  </si>
  <si>
    <t>ecoinvent</t>
  </si>
  <si>
    <t>technosphere</t>
  </si>
  <si>
    <t>Carbon dioxide, non-fossil</t>
  </si>
  <si>
    <t>air::non-urban air or from high stacks</t>
  </si>
  <si>
    <t>cubic meter</t>
  </si>
  <si>
    <t>biogas</t>
  </si>
  <si>
    <t>air</t>
  </si>
  <si>
    <t>biogas upgrading to biomethane, pressure swing adsorption</t>
  </si>
  <si>
    <t>treatment of biowaste by anaerobic digestion, cut-off with biogenic carbon uptake</t>
  </si>
  <si>
    <r>
      <t>CH</t>
    </r>
    <r>
      <rPr>
        <vertAlign val="subscript"/>
        <sz val="11"/>
        <color theme="1"/>
        <rFont val="Calibri"/>
        <family val="2"/>
        <scheme val="minor"/>
      </rPr>
      <t>4</t>
    </r>
  </si>
  <si>
    <r>
      <t>CO</t>
    </r>
    <r>
      <rPr>
        <vertAlign val="subscript"/>
        <sz val="11"/>
        <color theme="1"/>
        <rFont val="Calibri"/>
        <family val="2"/>
        <scheme val="minor"/>
      </rPr>
      <t>2</t>
    </r>
  </si>
  <si>
    <r>
      <t>Density gas (kg/Nm</t>
    </r>
    <r>
      <rPr>
        <b/>
        <vertAlign val="superscript"/>
        <sz val="11"/>
        <color theme="1"/>
        <rFont val="Calibri"/>
        <family val="2"/>
        <scheme val="minor"/>
      </rPr>
      <t>3</t>
    </r>
    <r>
      <rPr>
        <b/>
        <sz val="11"/>
        <color theme="1"/>
        <rFont val="Calibri"/>
        <family val="2"/>
        <scheme val="minor"/>
      </rPr>
      <t>)</t>
    </r>
  </si>
  <si>
    <t>-</t>
  </si>
  <si>
    <t>Methane, non-fossil</t>
  </si>
  <si>
    <t>RER</t>
  </si>
  <si>
    <t>electricity, medium voltage</t>
  </si>
  <si>
    <t>kilowatt hour</t>
  </si>
  <si>
    <t>market group for electricity, medium voltage</t>
  </si>
  <si>
    <t>chemical factory construction, organics</t>
  </si>
  <si>
    <t>chemical factory, organics</t>
  </si>
  <si>
    <t>lubricating oil</t>
  </si>
  <si>
    <t>market for lubricating oil</t>
  </si>
  <si>
    <t>potassium hydroxide</t>
  </si>
  <si>
    <t>market for potassium hydroxide</t>
  </si>
  <si>
    <t>Nitrogen</t>
  </si>
  <si>
    <t>megajoule</t>
  </si>
  <si>
    <t>Heat, waste</t>
  </si>
  <si>
    <t>Sulfur dioxide</t>
  </si>
  <si>
    <t>Hydrogen sulfide</t>
  </si>
  <si>
    <t>RoW</t>
  </si>
  <si>
    <t>electricity, low voltage</t>
  </si>
  <si>
    <t>market group for electricity, low voltage</t>
  </si>
  <si>
    <r>
      <t>LHV (MJ/m</t>
    </r>
    <r>
      <rPr>
        <b/>
        <vertAlign val="superscript"/>
        <sz val="11"/>
        <color theme="1"/>
        <rFont val="Calibri"/>
        <family val="2"/>
        <scheme val="minor"/>
      </rPr>
      <t>3</t>
    </r>
    <r>
      <rPr>
        <b/>
        <sz val="11"/>
        <color theme="1"/>
        <rFont val="Calibri"/>
        <family val="2"/>
        <scheme val="minor"/>
      </rPr>
      <t>)</t>
    </r>
  </si>
  <si>
    <t>density at 0ºC and 1 atm</t>
  </si>
  <si>
    <t>LHV (MJ/kg)</t>
  </si>
  <si>
    <t>Nitrate</t>
  </si>
  <si>
    <t>Dinitrogen monoxide</t>
  </si>
  <si>
    <t>Europe without Switzerland</t>
  </si>
  <si>
    <t>skip</t>
  </si>
  <si>
    <t>tap water</t>
  </si>
  <si>
    <t>market for tap water</t>
  </si>
  <si>
    <t>biogas upgrading to biomethane, pressure swing adsorption w/ CCS</t>
  </si>
  <si>
    <t>monoethanolamine</t>
  </si>
  <si>
    <t>market for monoethanolamine</t>
  </si>
  <si>
    <t>Ammonia</t>
  </si>
  <si>
    <t>biogas upgrading to biomethane</t>
  </si>
  <si>
    <t>Natural gas</t>
  </si>
  <si>
    <t>treatment of sewage sludge by anaerobic digestion, cut-off with biogenic carbon uptake</t>
  </si>
  <si>
    <t>Animal manure</t>
  </si>
  <si>
    <t>Biowaste</t>
  </si>
  <si>
    <t>Sewage sludge</t>
  </si>
  <si>
    <t>anaerobic digestion plant, agriculture, with methane recovery</t>
  </si>
  <si>
    <t>anaerobic digestion plant construction, agriculture, with methane recovery</t>
  </si>
  <si>
    <t>anaerobic digestion of animal manure, with biogenic carbon uptake</t>
  </si>
  <si>
    <t>market for combine harvesting</t>
  </si>
  <si>
    <t>combine harvesting</t>
  </si>
  <si>
    <t>hectare</t>
  </si>
  <si>
    <t>market group for inorganic nitrogen fertiliser, as N</t>
  </si>
  <si>
    <t>anaerobic digestion of sequential crop, with biogenic carbon uptake</t>
  </si>
  <si>
    <t>oat forage as sequential crop requires 80 kg N fertilizer/ha (Lodato et al., 2022)</t>
  </si>
  <si>
    <t>nitrate percolation of 88 kg NO3- per ha (Lodato et al., 2022)</t>
  </si>
  <si>
    <t>treatment of industrial wastewater by anaerobic digestion, cut-off with biogenic carbon uptake</t>
  </si>
  <si>
    <t>Industrial wastewater</t>
  </si>
  <si>
    <t>anaerobic digestion of agricultural residues, with biogenic carbon uptake</t>
  </si>
  <si>
    <t>agricultural residues</t>
  </si>
  <si>
    <t>biogas upgrading to biomethane, membrane</t>
  </si>
  <si>
    <t>biogas upgrading to biomethane, water scrubbing</t>
  </si>
  <si>
    <t>biogas upgrading to biomethane, chemical scrubbing</t>
  </si>
  <si>
    <t>water scrubbing</t>
  </si>
  <si>
    <t>chemical scrubbing</t>
  </si>
  <si>
    <t>membrane</t>
  </si>
  <si>
    <t>pressure swing adsorption</t>
  </si>
  <si>
    <t>Agricultural residues</t>
  </si>
  <si>
    <t>Biogas production</t>
  </si>
  <si>
    <t>Sequential crop</t>
  </si>
  <si>
    <t>Biogas market share by feedstock</t>
  </si>
  <si>
    <t>Water scrubbing</t>
  </si>
  <si>
    <t>Chemical scrubbing</t>
  </si>
  <si>
    <t>Membrane</t>
  </si>
  <si>
    <t>PSA</t>
  </si>
  <si>
    <t>Biomethane upgrading</t>
  </si>
  <si>
    <t>Lombardi and Francini (2020). Techno-economic and environmental assessment of the main biogas upgrading technologies. Renewable Energy 156 (2020) 440-458</t>
  </si>
  <si>
    <t>Lombardi and Francini (2020)</t>
  </si>
  <si>
    <t>Biomethane purity (% vol.)</t>
  </si>
  <si>
    <t>Calculate</t>
  </si>
  <si>
    <t>agricultural residues collection</t>
  </si>
  <si>
    <t>Leakage (% vol.)</t>
  </si>
  <si>
    <t>market for heat, central or small-scale, natural gas</t>
  </si>
  <si>
    <t>heat, central or small-scale, natural gas</t>
  </si>
  <si>
    <t>market for charcoal</t>
  </si>
  <si>
    <t>charcoal</t>
  </si>
  <si>
    <t>biogas upgrading to biomethane, water scrubbing w/ CCS</t>
  </si>
  <si>
    <t>biogas upgrading to biomethane, chemical scrubbing w/ CCS</t>
  </si>
  <si>
    <t>biogas upgrading to biomethane, membrane w/ CCS</t>
  </si>
  <si>
    <t>inorganic nitrogen fertiliser, as N</t>
  </si>
  <si>
    <t>water::ground-</t>
  </si>
  <si>
    <t>water scrubbing w/ CCS</t>
  </si>
  <si>
    <t>chemical scrubbing w/ CCS</t>
  </si>
  <si>
    <t>membrane w/ CCS</t>
  </si>
  <si>
    <t>pressure swing adsorption w/ CCS</t>
  </si>
  <si>
    <t>This is the activity for the production of biogas by anaerobic digestion of biowaste (food and green waste). Biogas is a by-product of the main activity (biowaste treatment) and comes free of burdens. The inventory includes the corresponding CO2 removed from the atmosphere during biomass growth and contained in the biogas. This ensures the carbon neutrality of the biogas supply chain from cradle to grave</t>
  </si>
  <si>
    <t>This is the activity for the production of biogas by anaerobic digestion of industrial wastewater. Biogas is a by-product of the main activity (wastewater treatment) and comes free of burdens. The inventory includes the corresponding CO2 removed from the atmosphere during biomass growth and contained in the biogas. This ensures the carbon neutrality of the biogas supply chain from cradle to grave</t>
  </si>
  <si>
    <t>This is the activity for the production of biogas by anaerobic digestion of sewage sludge. Biogas is a by-product of the main activity (sewage sludge treatment) and comes free of burdens. The inventory includes the corresponding CO2 removed from the atmosphere during biomass growth and contained in the biogas. This ensures the carbon neutrality of the biogas supply chain from cradle to grave</t>
  </si>
  <si>
    <t>This is the activity for the production of biogas and digestate by anaerobic digestion of agricultural residues. Biogas is the single purpose of this process and, therefore, all the environmental burdens of waste treatment are allocated to the biogas (i.e., digestate leaves the process free of burdens). Crop residues were assumed to come free of burdens (collection and transportation were included). The inventory includes the corresponding CO2 removed from the atmosphere during biomass growth and contained in the biogas. This ensures the carbon neutrality of the biogas supply chain from cradle to grave</t>
  </si>
  <si>
    <t>Ecoinvent: 1.5-1.6 kg/m3 biomethane</t>
  </si>
  <si>
    <t>chemical, organic</t>
  </si>
  <si>
    <t>market for chemical, organic</t>
  </si>
  <si>
    <t>biomethane, 24 bar</t>
  </si>
  <si>
    <t>market for biomethane, 24 bar</t>
  </si>
  <si>
    <t>market for biomethane, 24 bar w/ CCS</t>
  </si>
  <si>
    <t>This is the market activity for the injection of biomethane into the natural gas grid (with carbon capture and storage)</t>
  </si>
  <si>
    <t>Acetaldehyde</t>
  </si>
  <si>
    <t>emissions generated from MEA; Florio et al. (2019)</t>
  </si>
  <si>
    <t>Florio et al. (2019). A Life Cycle Assessment of Biomethane Production from Waste Feedstock Through Different Upgrading Technologies. Energies 12, 718; doi:10.3390/en12040718</t>
  </si>
  <si>
    <t>market for steel, chromium steel 18/8</t>
  </si>
  <si>
    <t>steel, chromium steel 18/8</t>
  </si>
  <si>
    <t>market for sodium chloride, powder</t>
  </si>
  <si>
    <t>sodium chloride, powder</t>
  </si>
  <si>
    <t>market for gas boiler</t>
  </si>
  <si>
    <t>gas boiler</t>
  </si>
  <si>
    <t>calculated based on the CO2 content of the biomethane plus the CH4 content that is oxidized to CO2</t>
  </si>
  <si>
    <t>calculated based on the CH4 content of the biomethane and assuming 99.99% oxidation efficiency of boiler</t>
  </si>
  <si>
    <t>water::surface water</t>
  </si>
  <si>
    <t>Benzo(a)pyrene</t>
  </si>
  <si>
    <t>Benzene</t>
  </si>
  <si>
    <t>Propionic acid</t>
  </si>
  <si>
    <t>Toluene</t>
  </si>
  <si>
    <t>Carbon monoxide, non-fossil</t>
  </si>
  <si>
    <t>Formaldehyde</t>
  </si>
  <si>
    <t>Nitrogen oxides</t>
  </si>
  <si>
    <t>Dioxins, measured as 2,3,7,8-tetrachlorodibenzo-p-dioxin</t>
  </si>
  <si>
    <t>Acetic acid</t>
  </si>
  <si>
    <t>Pentane</t>
  </si>
  <si>
    <t>PAH, polycyclic aromatic hydrocarbons</t>
  </si>
  <si>
    <t>Propane</t>
  </si>
  <si>
    <t>Butane</t>
  </si>
  <si>
    <t>Biomethane market by technology</t>
  </si>
  <si>
    <t>Biogas market share by feedstock (% vol.)</t>
  </si>
  <si>
    <r>
      <t>Biogas market CH</t>
    </r>
    <r>
      <rPr>
        <vertAlign val="subscript"/>
        <sz val="11"/>
        <color theme="1"/>
        <rFont val="Calibri"/>
        <family val="2"/>
        <scheme val="minor"/>
      </rPr>
      <t>4</t>
    </r>
    <r>
      <rPr>
        <sz val="11"/>
        <color theme="1"/>
        <rFont val="Calibri"/>
        <family val="2"/>
        <scheme val="minor"/>
      </rPr>
      <t xml:space="preserve"> content (vol.)</t>
    </r>
  </si>
  <si>
    <r>
      <t>Biogas market CO</t>
    </r>
    <r>
      <rPr>
        <vertAlign val="subscript"/>
        <sz val="11"/>
        <color theme="1"/>
        <rFont val="Calibri"/>
        <family val="2"/>
        <scheme val="minor"/>
      </rPr>
      <t>2</t>
    </r>
    <r>
      <rPr>
        <sz val="11"/>
        <color theme="1"/>
        <rFont val="Calibri"/>
        <family val="2"/>
        <scheme val="minor"/>
      </rPr>
      <t xml:space="preserve"> content (vol.)</t>
    </r>
  </si>
  <si>
    <t>Source:</t>
  </si>
  <si>
    <t>https://www.engineeringtoolbox.com/gas-density-d_158.html</t>
  </si>
  <si>
    <t>Biomethane market purity (% vol.)</t>
  </si>
  <si>
    <r>
      <t>Boiler efficiency (MJ</t>
    </r>
    <r>
      <rPr>
        <vertAlign val="subscript"/>
        <sz val="11"/>
        <color theme="1"/>
        <rFont val="Calibri"/>
        <family val="2"/>
        <scheme val="minor"/>
      </rPr>
      <t>heat</t>
    </r>
    <r>
      <rPr>
        <sz val="11"/>
        <color theme="1"/>
        <rFont val="Calibri"/>
        <family val="2"/>
        <scheme val="minor"/>
      </rPr>
      <t>/MJ</t>
    </r>
    <r>
      <rPr>
        <vertAlign val="subscript"/>
        <sz val="11"/>
        <color theme="1"/>
        <rFont val="Calibri"/>
        <family val="2"/>
        <scheme val="minor"/>
      </rPr>
      <t>fuel</t>
    </r>
    <r>
      <rPr>
        <sz val="11"/>
        <color theme="1"/>
        <rFont val="Calibri"/>
        <family val="2"/>
        <scheme val="minor"/>
      </rPr>
      <t>)</t>
    </r>
  </si>
  <si>
    <r>
      <t>Oxidation efficiency (% CH</t>
    </r>
    <r>
      <rPr>
        <vertAlign val="subscript"/>
        <sz val="11"/>
        <color theme="1"/>
        <rFont val="Calibri"/>
        <family val="2"/>
        <scheme val="minor"/>
      </rPr>
      <t>4</t>
    </r>
    <r>
      <rPr>
        <sz val="11"/>
        <color theme="1"/>
        <rFont val="Calibri"/>
        <family val="2"/>
        <scheme val="minor"/>
      </rPr>
      <t>)</t>
    </r>
  </si>
  <si>
    <r>
      <t>Biomethane requirement (m</t>
    </r>
    <r>
      <rPr>
        <vertAlign val="superscript"/>
        <sz val="11"/>
        <color theme="1"/>
        <rFont val="Calibri"/>
        <family val="2"/>
        <scheme val="minor"/>
      </rPr>
      <t>3</t>
    </r>
    <r>
      <rPr>
        <sz val="11"/>
        <color theme="1"/>
        <rFont val="Calibri"/>
        <family val="2"/>
        <scheme val="minor"/>
      </rPr>
      <t xml:space="preserve"> biomethane/MJ</t>
    </r>
    <r>
      <rPr>
        <vertAlign val="subscript"/>
        <sz val="11"/>
        <color theme="1"/>
        <rFont val="Calibri"/>
        <family val="2"/>
        <scheme val="minor"/>
      </rPr>
      <t>heat</t>
    </r>
    <r>
      <rPr>
        <sz val="11"/>
        <color theme="1"/>
        <rFont val="Calibri"/>
        <family val="2"/>
        <scheme val="minor"/>
      </rPr>
      <t>)</t>
    </r>
  </si>
  <si>
    <r>
      <t>CO</t>
    </r>
    <r>
      <rPr>
        <vertAlign val="subscript"/>
        <sz val="11"/>
        <color theme="1"/>
        <rFont val="Calibri"/>
        <family val="2"/>
        <scheme val="minor"/>
      </rPr>
      <t>2</t>
    </r>
    <r>
      <rPr>
        <sz val="11"/>
        <color theme="1"/>
        <rFont val="Calibri"/>
        <family val="2"/>
        <scheme val="minor"/>
      </rPr>
      <t xml:space="preserve"> emissions w/o CCS (kg/MJ</t>
    </r>
    <r>
      <rPr>
        <vertAlign val="subscript"/>
        <sz val="11"/>
        <color theme="1"/>
        <rFont val="Calibri"/>
        <family val="2"/>
        <scheme val="minor"/>
      </rPr>
      <t>heat</t>
    </r>
    <r>
      <rPr>
        <sz val="11"/>
        <color theme="1"/>
        <rFont val="Calibri"/>
        <family val="2"/>
        <scheme val="minor"/>
      </rPr>
      <t>)</t>
    </r>
  </si>
  <si>
    <r>
      <t>Heat production (MJ</t>
    </r>
    <r>
      <rPr>
        <vertAlign val="subscript"/>
        <sz val="11"/>
        <color theme="1"/>
        <rFont val="Calibri"/>
        <family val="2"/>
        <scheme val="minor"/>
      </rPr>
      <t>heat</t>
    </r>
    <r>
      <rPr>
        <sz val="11"/>
        <color theme="1"/>
        <rFont val="Calibri"/>
        <family val="2"/>
        <scheme val="minor"/>
      </rPr>
      <t>/m</t>
    </r>
    <r>
      <rPr>
        <vertAlign val="superscript"/>
        <sz val="11"/>
        <color theme="1"/>
        <rFont val="Calibri"/>
        <family val="2"/>
        <scheme val="minor"/>
      </rPr>
      <t>3</t>
    </r>
    <r>
      <rPr>
        <sz val="11"/>
        <color theme="1"/>
        <rFont val="Calibri"/>
        <family val="2"/>
        <scheme val="minor"/>
      </rPr>
      <t xml:space="preserve"> biomethane)</t>
    </r>
  </si>
  <si>
    <r>
      <t>CH</t>
    </r>
    <r>
      <rPr>
        <vertAlign val="subscript"/>
        <sz val="11"/>
        <color theme="1"/>
        <rFont val="Calibri"/>
        <family val="2"/>
        <scheme val="minor"/>
      </rPr>
      <t>4</t>
    </r>
    <r>
      <rPr>
        <sz val="11"/>
        <color theme="1"/>
        <rFont val="Calibri"/>
        <family val="2"/>
        <scheme val="minor"/>
      </rPr>
      <t xml:space="preserve"> emissions (kg/MJ</t>
    </r>
    <r>
      <rPr>
        <vertAlign val="subscript"/>
        <sz val="11"/>
        <color theme="1"/>
        <rFont val="Calibri"/>
        <family val="2"/>
        <scheme val="minor"/>
      </rPr>
      <t>heat</t>
    </r>
    <r>
      <rPr>
        <sz val="11"/>
        <color theme="1"/>
        <rFont val="Calibri"/>
        <family val="2"/>
        <scheme val="minor"/>
      </rPr>
      <t>)</t>
    </r>
  </si>
  <si>
    <t>Ecoinvent: 1.96E-06 kg/MJ</t>
  </si>
  <si>
    <r>
      <rPr>
        <sz val="11"/>
        <color theme="1"/>
        <rFont val="Calibri"/>
        <family val="2"/>
        <scheme val="minor"/>
      </rPr>
      <t xml:space="preserve">sum of CO2 content of the biomethane plus the CH4 content oxidized to CO2; </t>
    </r>
    <r>
      <rPr>
        <i/>
        <sz val="11"/>
        <color theme="1"/>
        <rFont val="Calibri"/>
        <family val="2"/>
        <scheme val="minor"/>
      </rPr>
      <t>Ecoinvent: 0.055 kg/MJ</t>
    </r>
  </si>
  <si>
    <r>
      <t>CO</t>
    </r>
    <r>
      <rPr>
        <vertAlign val="subscript"/>
        <sz val="11"/>
        <color theme="1"/>
        <rFont val="Calibri"/>
        <family val="2"/>
        <scheme val="minor"/>
      </rPr>
      <t>2</t>
    </r>
    <r>
      <rPr>
        <sz val="11"/>
        <color theme="1"/>
        <rFont val="Calibri"/>
        <family val="2"/>
        <scheme val="minor"/>
      </rPr>
      <t xml:space="preserve"> emissions w/ CCS (kg/MJ</t>
    </r>
    <r>
      <rPr>
        <vertAlign val="subscript"/>
        <sz val="11"/>
        <color theme="1"/>
        <rFont val="Calibri"/>
        <family val="2"/>
        <scheme val="minor"/>
      </rPr>
      <t>heat</t>
    </r>
    <r>
      <rPr>
        <sz val="11"/>
        <color theme="1"/>
        <rFont val="Calibri"/>
        <family val="2"/>
        <scheme val="minor"/>
      </rPr>
      <t>)</t>
    </r>
  </si>
  <si>
    <t>mass of carbon (as CO2) contained in the biogas that has been removed from the atmosphere during biomass growth</t>
  </si>
  <si>
    <t>market group for natural gas, high pressure</t>
  </si>
  <si>
    <t>natural gas, high pressure</t>
  </si>
  <si>
    <t>heat, district or industrial, natural gas</t>
  </si>
  <si>
    <t>market for nickel, class 1</t>
  </si>
  <si>
    <t>nickel, class 1</t>
  </si>
  <si>
    <t>market for water, deionised</t>
  </si>
  <si>
    <t>water, deionised</t>
  </si>
  <si>
    <t>Methane, fossil</t>
  </si>
  <si>
    <t>Water, cooling, unspecified natural origin</t>
  </si>
  <si>
    <t>natural resource::in water</t>
  </si>
  <si>
    <t>water</t>
  </si>
  <si>
    <t>Water</t>
  </si>
  <si>
    <t>biomethane</t>
  </si>
  <si>
    <t>biomethane w/ CCS</t>
  </si>
  <si>
    <t>Angelidaki et al. (2018). Biogas upgrading and utilization: Current status and perspectives. Biotechnology Advances 36 (2018) 452–466</t>
  </si>
  <si>
    <t>Wouters et al. (2020) - Production share in 2019</t>
  </si>
  <si>
    <t>Wouters et al. (2020). Market state and trends in renewable and low-carbon gases in Europe - A Gas for Climate report. Available at: https://gasforclimate2050.eu/wp-content/uploads/2020/12/Gas-for-Climate-Market-State-and-Trends-report-2020.pdf</t>
  </si>
  <si>
    <t>Alberici et al. (2022). Biomethane production potentials in the EU - Feasibility of REPowerEU 2030 targets, production potentials in the Member States and outlook to 2050. A Gas for Climate report. Available at: https://www.europeanbiogas.eu/wp-content/uploads/2022/07/GfC_national-biomethane-potentials_070722.pdf</t>
  </si>
  <si>
    <r>
      <t>Biogas CH</t>
    </r>
    <r>
      <rPr>
        <vertAlign val="subscript"/>
        <sz val="11"/>
        <color theme="1"/>
        <rFont val="Calibri"/>
        <family val="2"/>
        <scheme val="minor"/>
      </rPr>
      <t>4</t>
    </r>
    <r>
      <rPr>
        <sz val="11"/>
        <color theme="1"/>
        <rFont val="Calibri"/>
        <family val="2"/>
        <scheme val="minor"/>
      </rPr>
      <t xml:space="preserve"> content (vol.)</t>
    </r>
  </si>
  <si>
    <r>
      <t>Biogas CO</t>
    </r>
    <r>
      <rPr>
        <vertAlign val="subscript"/>
        <sz val="11"/>
        <color theme="1"/>
        <rFont val="Calibri"/>
        <family val="2"/>
        <scheme val="minor"/>
      </rPr>
      <t>2</t>
    </r>
    <r>
      <rPr>
        <sz val="11"/>
        <color theme="1"/>
        <rFont val="Calibri"/>
        <family val="2"/>
        <scheme val="minor"/>
      </rPr>
      <t xml:space="preserve"> content (vol.)</t>
    </r>
  </si>
  <si>
    <t>Leakage digester + digestate storage (% vol.)</t>
  </si>
  <si>
    <t>Biomethane market share by technology (%. vol)</t>
  </si>
  <si>
    <t>Bakkaloglu et al. (2022). Methane emissions along biomethane and biogas supply chains are underestimated. One Earth 5, 724–736</t>
  </si>
  <si>
    <t>Cut-off</t>
  </si>
  <si>
    <t>Ecoinvent: 0.02 kg/m3 biogas</t>
  </si>
  <si>
    <t>Ecoinvent: 0.07 kg/m3 biogas</t>
  </si>
  <si>
    <t>Pinasseau et al. (2018). Best Available Techniques (BAT) Reference Document for Waste treatment Industrial Emissions Directive 2010/75/EU (Integrated Pollution Prevention and Control); EUR 29362 EN; Publications Office of the European Union, Luxembourg, 2018; ISBN 978-92-79-94038-5, doi:10.2760/407967, JRC113018</t>
  </si>
  <si>
    <t>pipeline, natural gas, high pressure distribution network</t>
  </si>
  <si>
    <t>pipeline construction, natural gas, high pressure distribution network</t>
  </si>
  <si>
    <t>kilometer</t>
  </si>
  <si>
    <t>market for transport, pipeline, long distance, natural gas</t>
  </si>
  <si>
    <t>transport, pipeline, long distance, natural gas</t>
  </si>
  <si>
    <t>ton kilometer</t>
  </si>
  <si>
    <t>market for heat, district or industrial, natural gas</t>
  </si>
  <si>
    <t>Smith et al. (2021). The implications of facility design and enabling policies on the economics of dry anaerobic digestion. Waste Management 128 (2021) 122–131</t>
  </si>
  <si>
    <r>
      <t>Biogas lower heating value (MJ/m</t>
    </r>
    <r>
      <rPr>
        <vertAlign val="superscript"/>
        <sz val="11"/>
        <color theme="1"/>
        <rFont val="Calibri"/>
        <family val="2"/>
        <scheme val="minor"/>
      </rPr>
      <t>3</t>
    </r>
    <r>
      <rPr>
        <sz val="11"/>
        <color theme="1"/>
        <rFont val="Calibri"/>
        <family val="2"/>
        <scheme val="minor"/>
      </rPr>
      <t>)</t>
    </r>
  </si>
  <si>
    <t>Biogas composition and properties</t>
  </si>
  <si>
    <r>
      <t>IEA (2020) range: 16-28 MJ/m</t>
    </r>
    <r>
      <rPr>
        <i/>
        <vertAlign val="superscript"/>
        <sz val="11"/>
        <color theme="1"/>
        <rFont val="Calibri"/>
        <family val="2"/>
        <scheme val="minor"/>
      </rPr>
      <t>3</t>
    </r>
  </si>
  <si>
    <t>Parameter</t>
  </si>
  <si>
    <r>
      <t>Biogas carbon content (kg C/m</t>
    </r>
    <r>
      <rPr>
        <vertAlign val="superscript"/>
        <sz val="11"/>
        <color theme="1"/>
        <rFont val="Calibri"/>
        <family val="2"/>
        <scheme val="minor"/>
      </rPr>
      <t>3</t>
    </r>
    <r>
      <rPr>
        <sz val="11"/>
        <color theme="1"/>
        <rFont val="Calibri"/>
        <family val="2"/>
        <scheme val="minor"/>
      </rPr>
      <t xml:space="preserve"> biogas)</t>
    </r>
  </si>
  <si>
    <t>Biogas combustion for heat production (% vol.)</t>
  </si>
  <si>
    <r>
      <t>Biogas production (m</t>
    </r>
    <r>
      <rPr>
        <vertAlign val="superscript"/>
        <sz val="11"/>
        <color theme="1"/>
        <rFont val="Calibri"/>
        <family val="2"/>
        <scheme val="minor"/>
      </rPr>
      <t>3</t>
    </r>
    <r>
      <rPr>
        <sz val="11"/>
        <color theme="1"/>
        <rFont val="Calibri"/>
        <family val="2"/>
        <scheme val="minor"/>
      </rPr>
      <t xml:space="preserve"> production/m</t>
    </r>
    <r>
      <rPr>
        <vertAlign val="superscript"/>
        <sz val="11"/>
        <color theme="1"/>
        <rFont val="Calibri"/>
        <family val="2"/>
        <scheme val="minor"/>
      </rPr>
      <t>3</t>
    </r>
    <r>
      <rPr>
        <sz val="11"/>
        <color theme="1"/>
        <rFont val="Calibri"/>
        <family val="2"/>
        <scheme val="minor"/>
      </rPr>
      <t xml:space="preserve"> supply)</t>
    </r>
  </si>
  <si>
    <t>Biogas production-supply balance</t>
  </si>
  <si>
    <t>In order to supply 1 cubic meter of biogas we need to produce more than that due to leakage, internal use and flaring</t>
  </si>
  <si>
    <t>biogas leakage + biogas combustion in boiler + biogas flaring</t>
  </si>
  <si>
    <r>
      <t>Biogas combustion emissions (boiler + flaring) (kg/m</t>
    </r>
    <r>
      <rPr>
        <b/>
        <vertAlign val="superscript"/>
        <sz val="11"/>
        <color theme="1"/>
        <rFont val="Calibri"/>
        <family val="2"/>
        <scheme val="minor"/>
      </rPr>
      <t>3</t>
    </r>
    <r>
      <rPr>
        <b/>
        <sz val="11"/>
        <color theme="1"/>
        <rFont val="Calibri"/>
        <family val="2"/>
        <scheme val="minor"/>
      </rPr>
      <t xml:space="preserve"> biogas supply)</t>
    </r>
  </si>
  <si>
    <r>
      <t>Leakage emissions (kg/m</t>
    </r>
    <r>
      <rPr>
        <b/>
        <vertAlign val="superscript"/>
        <sz val="11"/>
        <color theme="1"/>
        <rFont val="Calibri"/>
        <family val="2"/>
        <scheme val="minor"/>
      </rPr>
      <t>3</t>
    </r>
    <r>
      <rPr>
        <b/>
        <sz val="11"/>
        <color theme="1"/>
        <rFont val="Calibri"/>
        <family val="2"/>
        <scheme val="minor"/>
      </rPr>
      <t xml:space="preserve"> biogas supply)</t>
    </r>
  </si>
  <si>
    <r>
      <t>Biomethane lower heating value (MJ/m</t>
    </r>
    <r>
      <rPr>
        <vertAlign val="superscript"/>
        <sz val="11"/>
        <color theme="1"/>
        <rFont val="Calibri"/>
        <family val="2"/>
        <scheme val="minor"/>
      </rPr>
      <t>3</t>
    </r>
    <r>
      <rPr>
        <sz val="11"/>
        <color theme="1"/>
        <rFont val="Calibri"/>
        <family val="2"/>
        <scheme val="minor"/>
      </rPr>
      <t>)</t>
    </r>
  </si>
  <si>
    <r>
      <t>CO</t>
    </r>
    <r>
      <rPr>
        <vertAlign val="subscript"/>
        <sz val="11"/>
        <color theme="1"/>
        <rFont val="Calibri"/>
        <family val="2"/>
        <scheme val="minor"/>
      </rPr>
      <t>2</t>
    </r>
    <r>
      <rPr>
        <sz val="11"/>
        <color theme="1"/>
        <rFont val="Calibri"/>
        <family val="2"/>
        <scheme val="minor"/>
      </rPr>
      <t xml:space="preserve"> uptake biomass growth (kg CO</t>
    </r>
    <r>
      <rPr>
        <vertAlign val="subscript"/>
        <sz val="11"/>
        <color theme="1"/>
        <rFont val="Calibri"/>
        <family val="2"/>
        <scheme val="minor"/>
      </rPr>
      <t>2</t>
    </r>
    <r>
      <rPr>
        <sz val="11"/>
        <color theme="1"/>
        <rFont val="Calibri"/>
        <family val="2"/>
        <scheme val="minor"/>
      </rPr>
      <t>/m</t>
    </r>
    <r>
      <rPr>
        <vertAlign val="superscript"/>
        <sz val="11"/>
        <color theme="1"/>
        <rFont val="Calibri"/>
        <family val="2"/>
        <scheme val="minor"/>
      </rPr>
      <t>3</t>
    </r>
    <r>
      <rPr>
        <sz val="11"/>
        <color theme="1"/>
        <rFont val="Calibri"/>
        <family val="2"/>
        <scheme val="minor"/>
      </rPr>
      <t xml:space="preserve"> biogas)</t>
    </r>
  </si>
  <si>
    <t>This is the market activity for the supply of biomethane, high pressure through the natural gas grid</t>
  </si>
  <si>
    <t>average value for the gas network in Europe; calculated based on the ecoinvent activity 'market group for natural gas, high pressure [RER]</t>
  </si>
  <si>
    <t>Ethane</t>
  </si>
  <si>
    <t>Ecoinvent: 0.025 m3 natural gas/MJ</t>
  </si>
  <si>
    <t>hydrogen, gaseous, 25 bar</t>
  </si>
  <si>
    <t>Carbon dioxide, fossil</t>
  </si>
  <si>
    <t>Carbon monoxide, fossil</t>
  </si>
  <si>
    <t>electricity production, wind, 1-3MW turbine, onshore</t>
  </si>
  <si>
    <t>electricity, high voltage</t>
  </si>
  <si>
    <t>electrolyzer, PEM, Balance of Plant</t>
  </si>
  <si>
    <t>electrolyzer, PEM, Stack</t>
  </si>
  <si>
    <t>hydrogen production, gaseous, 25 bar, from electrolysis with wind electricity</t>
  </si>
  <si>
    <t>market for solvent, organic</t>
  </si>
  <si>
    <t>solvent, organic</t>
  </si>
  <si>
    <t>market for chemical factory, organics</t>
  </si>
  <si>
    <t>market group for municipal solid waste</t>
  </si>
  <si>
    <t>municipal solid waste</t>
  </si>
  <si>
    <t>bio-ammonia from biomethane</t>
  </si>
  <si>
    <t>bio-ammonia from biomethane w/ CCS</t>
  </si>
  <si>
    <t>ammonia production, liquid</t>
  </si>
  <si>
    <t>Hydrogen</t>
  </si>
  <si>
    <t>market for transport, freight, lorry, unspecified</t>
  </si>
  <si>
    <t>transport, freight, lorry, unspecified</t>
  </si>
  <si>
    <t>Biogas lower heating value (MJ/kg)</t>
  </si>
  <si>
    <t>van den Oever et al. (2021). Life cycle environmental impacts of compressed biogas production through anaerobic digestion of manure and municipal organic waste. Journal of Cleaner Production 306 (2021) 127156</t>
  </si>
  <si>
    <t>Technosphere inputs</t>
  </si>
  <si>
    <r>
      <t>Feedstock input (kg wet feedstock/m</t>
    </r>
    <r>
      <rPr>
        <vertAlign val="superscript"/>
        <sz val="11"/>
        <color theme="1"/>
        <rFont val="Calibri"/>
        <family val="2"/>
        <scheme val="minor"/>
      </rPr>
      <t>3</t>
    </r>
    <r>
      <rPr>
        <sz val="11"/>
        <color theme="1"/>
        <rFont val="Calibri"/>
        <family val="2"/>
        <scheme val="minor"/>
      </rPr>
      <t xml:space="preserve"> biogas supply)</t>
    </r>
  </si>
  <si>
    <t>Mass of feedstock required to supply 1 cubic meter of biogas; it considers that part of the biogas is lost through leakage, combusted for heat production or flared</t>
  </si>
  <si>
    <t>Biogas boiler efficiency based on JEC (2020)</t>
  </si>
  <si>
    <t>Carbon dioxide uptake biomass growth</t>
  </si>
  <si>
    <t>If biogas is considered burdens free (i.e., cut-off approach), the carbon content of 1 cubic meter biogas was considered. If the environmental burdens of waste treatment are allocated to the biogas, the carbon content considered was that of the actual amount of biogas produced to supply 1 cubic meter biogas is considered (i.e., the carbon contained in the biogas lost through leakade, combution or flaring is included)</t>
  </si>
  <si>
    <t>mass of carbon (as CO2) contained in the produced biogas (i.e., considering losses and internal use) that has been removed from the atmosphere during biomass growth</t>
  </si>
  <si>
    <t>Heat required to produce 1 cubic meter of biogas. This value is used to calculate the percentage of biogas that has to be combusted to satisfy the demand for heat. Heat requirement corresponds to 0.0909 MJ heat/MJ biogas for all feedstocks (JEC, 2020)</t>
  </si>
  <si>
    <t>calculated based on heat requirements and ecoinvent data from ''heat production, biomethane, at boiler condensing modulating &lt;100kW Europe without Switzerland''</t>
  </si>
  <si>
    <t>Transport (km)</t>
  </si>
  <si>
    <t>Manure is transported over 10 km from the farm to the anaerobic digestion plant while sequential crop and agricultural residues are transported 20 km (JEC, 2020)</t>
  </si>
  <si>
    <t>transport of crop to the anaerobic digestion plant</t>
  </si>
  <si>
    <t>oat forage production, sequential crop for anaerobic digestion</t>
  </si>
  <si>
    <t>oat forage, sequential crop</t>
  </si>
  <si>
    <t>Lodato et al. (2022). Towards sustainable methane supply from local bioresources: Anaerobic digestion, gasification, and gas upgrading. Applied Energy 323 (2022) 119568</t>
  </si>
  <si>
    <t>process considered for harvesting of the sequential crop (Lodato et al., 2022)</t>
  </si>
  <si>
    <t>Vassilev et al. (2010). An overview of the chemical composition of biomass. Fuel 89 (2010) 913–933</t>
  </si>
  <si>
    <t>Lodato et al. (2022). Towards sustainable methane supply from local bioresources: Anaerobic digestion, gasification, and gas upgrading. Applied Energy 323 (2022) 119568; Vassilev et al. (2010). An overview of the chemical composition of biomass. Fuel 89 (2010) 913–933</t>
  </si>
  <si>
    <t>Feedstock properties</t>
  </si>
  <si>
    <t>Lodato et al. (2022)</t>
  </si>
  <si>
    <t>Moisture content (%  wet weight)</t>
  </si>
  <si>
    <t>Volatile solids content (% TS)</t>
  </si>
  <si>
    <r>
      <t>Biochemical methane potential (Nm</t>
    </r>
    <r>
      <rPr>
        <vertAlign val="superscript"/>
        <sz val="11"/>
        <color theme="1"/>
        <rFont val="Calibri"/>
        <family val="2"/>
        <scheme val="minor"/>
      </rPr>
      <t>3</t>
    </r>
    <r>
      <rPr>
        <sz val="11"/>
        <color theme="1"/>
        <rFont val="Calibri"/>
        <family val="2"/>
        <scheme val="minor"/>
      </rPr>
      <t xml:space="preserve"> CH</t>
    </r>
    <r>
      <rPr>
        <vertAlign val="subscript"/>
        <sz val="11"/>
        <color theme="1"/>
        <rFont val="Calibri"/>
        <family val="2"/>
        <scheme val="minor"/>
      </rPr>
      <t>4</t>
    </r>
    <r>
      <rPr>
        <sz val="11"/>
        <color theme="1"/>
        <rFont val="Calibri"/>
        <family val="2"/>
        <scheme val="minor"/>
      </rPr>
      <t>/t VS)</t>
    </r>
  </si>
  <si>
    <t>Volatile solids destruction rate (% VS)</t>
  </si>
  <si>
    <r>
      <t>IEA (2020): 36 MJ/m</t>
    </r>
    <r>
      <rPr>
        <i/>
        <vertAlign val="superscript"/>
        <sz val="11"/>
        <color theme="1"/>
        <rFont val="Calibri"/>
        <family val="2"/>
        <scheme val="minor"/>
      </rPr>
      <t>3</t>
    </r>
    <r>
      <rPr>
        <i/>
        <sz val="11"/>
        <color theme="1"/>
        <rFont val="Calibri"/>
        <family val="2"/>
        <scheme val="minor"/>
      </rPr>
      <t xml:space="preserve"> / Alberici et al. (2022): 34.7 MJ/m</t>
    </r>
    <r>
      <rPr>
        <i/>
        <vertAlign val="superscript"/>
        <sz val="11"/>
        <color theme="1"/>
        <rFont val="Calibri"/>
        <family val="2"/>
        <scheme val="minor"/>
      </rPr>
      <t>3</t>
    </r>
  </si>
  <si>
    <r>
      <t>Biogas production potential (m</t>
    </r>
    <r>
      <rPr>
        <vertAlign val="superscript"/>
        <sz val="11"/>
        <color theme="1"/>
        <rFont val="Calibri"/>
        <family val="2"/>
        <scheme val="minor"/>
      </rPr>
      <t>3</t>
    </r>
    <r>
      <rPr>
        <sz val="11"/>
        <color theme="1"/>
        <rFont val="Calibri"/>
        <family val="2"/>
        <scheme val="minor"/>
      </rPr>
      <t xml:space="preserve"> biogas/kg wet  feedstock)</t>
    </r>
  </si>
  <si>
    <t>Hamelin et al. (2014). Environmental consequences of different carbon alternatives for increased manure-based biogas. Applied Energy 114 (2014) 774–782</t>
  </si>
  <si>
    <t>Agricultural residues and sequential crop: Lodato et al. (2022); Animal manure: Hamelin et al. (2014)</t>
  </si>
  <si>
    <t>Comparison with Hamelin et al. (2014) for animal manure: Comparison with Alberici et al. (2022) for sequential crop: 0.57 m3 biogas/kg dry feedstock (equivalent to 0.148 m3 biogas/kg wet feedstock)</t>
  </si>
  <si>
    <t>amount of wet feedstock required to supply 1 cubic meter of biogas (considering losses and internal use)</t>
  </si>
  <si>
    <t>This is the activity for the production of biogas and digestate by anaerobic digestion of sequential crop. Biogas is the single purpose of this process and, therefore, all the environmental burdens are allocated to the biogas (i.e., digestate leaves the process free of burdens). The inventory includes the CO2 removed from the atmosphere during biomass growth and transferred into the biogas. This ensures the carbon neutrality of biogas supply chains from cradle to grave</t>
  </si>
  <si>
    <t>This is the activity for the production of biogas and digestate by anaerobic digestion of animal manure. Biogas is the single purpose of this process and, therefore, all the environmental burdens of waste treatment are allocated to the biogas (i.e., digestate leaves the process free of burdens). Manure is transported over a short distance from the farm to the biogas plant. Heat demand is satisfied internaly through the combustion of biogas in a boiler. Emissions include leakage emissions and emissions from the combustion of biogas in a boiler and in flaring. The inventory includes the corresponding CO2 removed from the atmosphere during biomass growth and contained in the biogas. This ensures the carbon neutrality of the biogas supply chain from cradle to grave</t>
  </si>
  <si>
    <t>assume the characteristics of the biomethane and boiler efficiency</t>
  </si>
  <si>
    <r>
      <t>CO</t>
    </r>
    <r>
      <rPr>
        <vertAlign val="subscript"/>
        <sz val="11"/>
        <color theme="1"/>
        <rFont val="Calibri"/>
        <family val="2"/>
        <scheme val="minor"/>
      </rPr>
      <t>2</t>
    </r>
    <r>
      <rPr>
        <sz val="11"/>
        <color theme="1"/>
        <rFont val="Calibri"/>
        <family val="2"/>
        <scheme val="minor"/>
      </rPr>
      <t xml:space="preserve"> captured (kg/MJ</t>
    </r>
    <r>
      <rPr>
        <vertAlign val="subscript"/>
        <sz val="11"/>
        <color theme="1"/>
        <rFont val="Calibri"/>
        <family val="2"/>
        <scheme val="minor"/>
      </rPr>
      <t>heat</t>
    </r>
    <r>
      <rPr>
        <sz val="11"/>
        <color theme="1"/>
        <rFont val="Calibri"/>
        <family val="2"/>
        <scheme val="minor"/>
      </rPr>
      <t>)</t>
    </r>
  </si>
  <si>
    <t>heat production, natural gas, at industrial furnace &gt;100kW</t>
  </si>
  <si>
    <t>heat production, at industrial furnace &gt;100kW</t>
  </si>
  <si>
    <t>industrial furnace production, natural gas</t>
  </si>
  <si>
    <t>industrial furnace, natural gas</t>
  </si>
  <si>
    <t>copy of the ecoinvent inventory "heat production, natural gas, at industrial furnace &gt;100kW [Europe without Switzerland]" to include biomethane as feedstock or CCS</t>
  </si>
  <si>
    <t>heat, district or industrial</t>
  </si>
  <si>
    <t>natural gas, heating w/ CCS</t>
  </si>
  <si>
    <t>biomethane, heating w/ CCS</t>
  </si>
  <si>
    <t>biomethane w/ CCS, heating w/ CCS</t>
  </si>
  <si>
    <t>heat production, at industrial furnace &gt;100kW, natural gas, heating w/ CCS</t>
  </si>
  <si>
    <t>heat production, at industrial furnace &gt;100kW, biomethane</t>
  </si>
  <si>
    <t>inventory for biomethane injected into the natural gas grid</t>
  </si>
  <si>
    <t>heat production, at industrial furnace &gt;100kW, biomethane, heating w/ CCS</t>
  </si>
  <si>
    <t>heat production, at industrial furnace &gt;100kW, biomethane w/ CCS</t>
  </si>
  <si>
    <t>heat production, at industrial furnace &gt;100kW, biomethane w/ CCS, heating w/ CCS</t>
  </si>
  <si>
    <t>fossil ammonia from natural gas, syngas w/ CCS</t>
  </si>
  <si>
    <t>copy of the ecoinvent inventory "ammonia production, steam reforming, liquid [RER w/o RU]" to include syngas CCS, biomethane as feedstock, and heating with CCS</t>
  </si>
  <si>
    <t>calculated based on the carbon capture efficiency and the ecoinvent default data for CO2 emissions from ammonia production; CO2 capture inventory from premise</t>
  </si>
  <si>
    <t>calculated based on the carbon capture efficiency and the characteristics of biomethane or the ecoinvent default data for CO2 emissions from natural gas furnace; CO2 capture inventory from premise</t>
  </si>
  <si>
    <t>calculated based on ecoinvent default data for CO2 emissions from natural gas furnace and the carbon capture efficiency</t>
  </si>
  <si>
    <t>calculated based on ecoinvent default data for CO2 emissions from ammonia production and the carbon capture efficiency</t>
  </si>
  <si>
    <t>fossil ammonia from natural gas, syngas w/ CCS, heating w/ CCS</t>
  </si>
  <si>
    <t>bio-ammonia from biomethane, syngas w/ CCS</t>
  </si>
  <si>
    <t>bio-ammonia from biomethane, syngas w/ CCS, heating w/ CCS</t>
  </si>
  <si>
    <t>bio-ammonia from biomethane w/ CCS, syngas w/ CCS</t>
  </si>
  <si>
    <t>bio-ammonia from biomethane w/ CCS, syngas w/ CCS, heating w/ CCS</t>
  </si>
  <si>
    <t>ammonia production, liquid, green ammonia from wind-based hydrogen</t>
  </si>
  <si>
    <t>electricity for Haber-Bosch proces; assumed as 59% of the electricity requirement for ammonia production (ecoinvent default data) based on D'Angelo et al. (2021)</t>
  </si>
  <si>
    <t>D'Angelo et al. (2021)</t>
  </si>
  <si>
    <t>nitrogen gaseous, from cryogenic distillation, without compression</t>
  </si>
  <si>
    <t>nitrogen gaseous, without compression</t>
  </si>
  <si>
    <t>D'Angelo et al. (2021). Planetary Boundaries Analysis of Low-Carbon Ammonia Production Routes. ACS Sustainable Chem. Eng. 9, 9740−9749</t>
  </si>
  <si>
    <t>The is the activity for the production of gaseous nitrogen through cryogenic distillation without compression of the output nitrogen</t>
  </si>
  <si>
    <t>air separation facility construction</t>
  </si>
  <si>
    <t>air separation facility</t>
  </si>
  <si>
    <t>D'Angelo et al. (2021). Planetary Boundaries Analysis of Low-Carbon Ammonia Production Routes. ACS Sustainable Chem. Eng. 9, 9740−9749 and ecoinvent inventory for ammonia production</t>
  </si>
  <si>
    <t>fossil ammonia from natural gas</t>
  </si>
  <si>
    <t>animal manure collection</t>
  </si>
  <si>
    <t>animal manure</t>
  </si>
  <si>
    <t>This is the activity for the collection and supply of animal manure. Animal manure is transported over a short distance to the anaerobic digestion plant. Note that the inventory does not include the CO2 removed from the atmosphere during biomass growth since this CO2 is included in the anaerobic digestion inventory</t>
  </si>
  <si>
    <t>This is the activity for the collection and supply of agricultural residues. Agricultural residues are transported over a short distance to the anaerobic digestion plant. Note that the inventory does not include the CO2 removed from the atmosphere during biomass growth since this CO2 is included in the anaerobic digestion inventory</t>
  </si>
  <si>
    <t>This is the activity for the production of oat forage as sequential crop to be used in anaerobic digestion. Inventory based on Lodato et al. (2022) with a crop yield of 20,000 kg wet mass per ha. Crops are transported over a short distance to the anaerobic digestion plant. Note that the inventory does not include the CO2 removed from the atmosphere during biomass growth since this CO2 is included in the anaerobic digestion inventory</t>
  </si>
  <si>
    <t>Smith et al. (2021) / AD facilities typically flare a non-negligible share of the biogas due to storage limitations and/or low methane flux. The authors assumed that 10-20% of biogas is flared in AD facilities based on biomethane upgrading</t>
  </si>
  <si>
    <t>Biogas flaring (% vol.)</t>
  </si>
  <si>
    <t>Biogas combusted in a boiler to satisfy internal demand of heat / calculated from heat requirement, boiler efficiency and the LHV of biogas</t>
  </si>
  <si>
    <r>
      <t>Sum of CO</t>
    </r>
    <r>
      <rPr>
        <vertAlign val="subscript"/>
        <sz val="11"/>
        <color theme="1"/>
        <rFont val="Calibri"/>
        <family val="2"/>
        <scheme val="minor"/>
      </rPr>
      <t>2</t>
    </r>
    <r>
      <rPr>
        <sz val="11"/>
        <color theme="1"/>
        <rFont val="Calibri"/>
        <family val="2"/>
        <scheme val="minor"/>
      </rPr>
      <t xml:space="preserve"> content of the biogas plus the CH</t>
    </r>
    <r>
      <rPr>
        <vertAlign val="subscript"/>
        <sz val="11"/>
        <color theme="1"/>
        <rFont val="Calibri"/>
        <family val="2"/>
        <scheme val="minor"/>
      </rPr>
      <t>4</t>
    </r>
    <r>
      <rPr>
        <sz val="11"/>
        <color theme="1"/>
        <rFont val="Calibri"/>
        <family val="2"/>
        <scheme val="minor"/>
      </rPr>
      <t xml:space="preserve"> oxidized to CO2; equivalent to 1.981 kg CO2/m3 biogas produced. The ecoinvent inventory for "heat and power co-generation, biogas, gas engine, GLO" (undefined) has an emission of 1.898 kg CO2/m3 biogas</t>
    </r>
  </si>
  <si>
    <r>
      <t>Non-oxidized CH</t>
    </r>
    <r>
      <rPr>
        <vertAlign val="subscript"/>
        <sz val="11"/>
        <color theme="1"/>
        <rFont val="Calibri"/>
        <family val="2"/>
        <scheme val="minor"/>
      </rPr>
      <t>4</t>
    </r>
    <r>
      <rPr>
        <sz val="11"/>
        <color theme="1"/>
        <rFont val="Calibri"/>
        <family val="2"/>
        <scheme val="minor"/>
      </rPr>
      <t>; equivalent to 4.09E-04 kg CH4/m3 biogas produced. The ecoinvent inventory for "heat and power co-generation, biogas, gas engine, GLO" (undefined) has an emission of 5.23E-04 kg CH4/m3 biogas</t>
    </r>
  </si>
  <si>
    <r>
      <t>Emission factor (kg/m</t>
    </r>
    <r>
      <rPr>
        <vertAlign val="superscript"/>
        <sz val="11"/>
        <color theme="1"/>
        <rFont val="Calibri"/>
        <family val="2"/>
        <scheme val="minor"/>
      </rPr>
      <t>3</t>
    </r>
    <r>
      <rPr>
        <sz val="11"/>
        <color theme="1"/>
        <rFont val="Calibri"/>
        <family val="2"/>
        <scheme val="minor"/>
      </rPr>
      <t xml:space="preserve"> biogas) was retrieved from the Ecoinvent inventory "heat and power co-generation, biogas, gas engine, GLO" (undefined)</t>
    </r>
  </si>
  <si>
    <t>NMVOC, non-methane volatile organic compounds</t>
  </si>
  <si>
    <t>Platinum</t>
  </si>
  <si>
    <t>biogas combustion in boiler + biogas flaring</t>
  </si>
  <si>
    <r>
      <t>Anaerobic digestion facility (unit/m</t>
    </r>
    <r>
      <rPr>
        <vertAlign val="superscript"/>
        <sz val="11"/>
        <color theme="1"/>
        <rFont val="Calibri"/>
        <family val="2"/>
        <scheme val="minor"/>
      </rPr>
      <t>3</t>
    </r>
    <r>
      <rPr>
        <sz val="11"/>
        <color theme="1"/>
        <rFont val="Calibri"/>
        <family val="2"/>
        <scheme val="minor"/>
      </rPr>
      <t xml:space="preserve"> biogas supply)</t>
    </r>
  </si>
  <si>
    <r>
      <t>Biogas boiler facility (unit/m</t>
    </r>
    <r>
      <rPr>
        <vertAlign val="superscript"/>
        <sz val="11"/>
        <color theme="1"/>
        <rFont val="Calibri"/>
        <family val="2"/>
        <scheme val="minor"/>
      </rPr>
      <t>3</t>
    </r>
    <r>
      <rPr>
        <sz val="11"/>
        <color theme="1"/>
        <rFont val="Calibri"/>
        <family val="2"/>
        <scheme val="minor"/>
      </rPr>
      <t xml:space="preserve"> biogas supply)</t>
    </r>
  </si>
  <si>
    <t>Same value as in the Ecoinvent inventory ''anaerobic digestion of manure CH'' scaled-up to consider biogas leakage and internal use</t>
  </si>
  <si>
    <t>amount of wet feedstock required to supply 1 cubic meter of biogas (considering biogas leakage and internal use)</t>
  </si>
  <si>
    <t>Calculated based on heat requirements and Ecoinvent data from ''heat production, biomethane, at boiler condensing modulating &lt;100kW Europe without Switzerland''</t>
  </si>
  <si>
    <t>Carbon balance</t>
  </si>
  <si>
    <t>Biomethane upgrading characteristics</t>
  </si>
  <si>
    <r>
      <t>Electricity (kWh/m</t>
    </r>
    <r>
      <rPr>
        <vertAlign val="superscript"/>
        <sz val="11"/>
        <color theme="1"/>
        <rFont val="Calibri"/>
        <family val="2"/>
        <scheme val="minor"/>
      </rPr>
      <t>3</t>
    </r>
    <r>
      <rPr>
        <sz val="11"/>
        <color theme="1"/>
        <rFont val="Calibri"/>
        <family val="2"/>
        <scheme val="minor"/>
      </rPr>
      <t xml:space="preserve"> biogas supply)</t>
    </r>
  </si>
  <si>
    <r>
      <t>Heat (MJ/m</t>
    </r>
    <r>
      <rPr>
        <vertAlign val="superscript"/>
        <sz val="11"/>
        <color theme="1"/>
        <rFont val="Calibri"/>
        <family val="2"/>
        <scheme val="minor"/>
      </rPr>
      <t>3</t>
    </r>
    <r>
      <rPr>
        <sz val="11"/>
        <color theme="1"/>
        <rFont val="Calibri"/>
        <family val="2"/>
        <scheme val="minor"/>
      </rPr>
      <t xml:space="preserve"> biogas production)</t>
    </r>
  </si>
  <si>
    <t>Biomethane outlet pressure (bar)</t>
  </si>
  <si>
    <t>Electricity for compression to 24 bar (kWh/kg biomethane)</t>
  </si>
  <si>
    <r>
      <t>Electricity for compression CO</t>
    </r>
    <r>
      <rPr>
        <vertAlign val="subscript"/>
        <sz val="11"/>
        <color theme="1"/>
        <rFont val="Calibri"/>
        <family val="2"/>
        <scheme val="minor"/>
      </rPr>
      <t>2</t>
    </r>
    <r>
      <rPr>
        <sz val="11"/>
        <color theme="1"/>
        <rFont val="Calibri"/>
        <family val="2"/>
        <scheme val="minor"/>
      </rPr>
      <t xml:space="preserve"> to 110 bar (kWh/kg CO</t>
    </r>
    <r>
      <rPr>
        <vertAlign val="subscript"/>
        <sz val="11"/>
        <color theme="1"/>
        <rFont val="Calibri"/>
        <family val="2"/>
        <scheme val="minor"/>
      </rPr>
      <t>2</t>
    </r>
    <r>
      <rPr>
        <sz val="11"/>
        <color theme="1"/>
        <rFont val="Calibri"/>
        <family val="2"/>
        <scheme val="minor"/>
      </rPr>
      <t>)</t>
    </r>
  </si>
  <si>
    <t>Volkart et al. (2013)</t>
  </si>
  <si>
    <t>Natural gas network pressure requirement (bar)</t>
  </si>
  <si>
    <r>
      <t>Biomethane density (kg/Nm</t>
    </r>
    <r>
      <rPr>
        <vertAlign val="superscript"/>
        <sz val="11"/>
        <color theme="1"/>
        <rFont val="Calibri"/>
        <family val="2"/>
        <scheme val="minor"/>
      </rPr>
      <t>3</t>
    </r>
    <r>
      <rPr>
        <sz val="11"/>
        <color theme="1"/>
        <rFont val="Calibri"/>
        <family val="2"/>
        <scheme val="minor"/>
      </rPr>
      <t xml:space="preserve"> biomethane)</t>
    </r>
  </si>
  <si>
    <r>
      <t>Biogas input (m</t>
    </r>
    <r>
      <rPr>
        <vertAlign val="superscript"/>
        <sz val="11"/>
        <color theme="1"/>
        <rFont val="Calibri"/>
        <family val="2"/>
        <scheme val="minor"/>
      </rPr>
      <t>3</t>
    </r>
    <r>
      <rPr>
        <sz val="11"/>
        <color theme="1"/>
        <rFont val="Calibri"/>
        <family val="2"/>
        <scheme val="minor"/>
      </rPr>
      <t>/Nm</t>
    </r>
    <r>
      <rPr>
        <vertAlign val="superscript"/>
        <sz val="11"/>
        <color theme="1"/>
        <rFont val="Calibri"/>
        <family val="2"/>
        <scheme val="minor"/>
      </rPr>
      <t>3</t>
    </r>
    <r>
      <rPr>
        <sz val="11"/>
        <color theme="1"/>
        <rFont val="Calibri"/>
        <family val="2"/>
        <scheme val="minor"/>
      </rPr>
      <t xml:space="preserve"> biomethane)</t>
    </r>
  </si>
  <si>
    <r>
      <t>CH</t>
    </r>
    <r>
      <rPr>
        <vertAlign val="subscript"/>
        <sz val="11"/>
        <color theme="1"/>
        <rFont val="Calibri"/>
        <family val="2"/>
        <scheme val="minor"/>
      </rPr>
      <t>4</t>
    </r>
    <r>
      <rPr>
        <sz val="11"/>
        <color theme="1"/>
        <rFont val="Calibri"/>
        <family val="2"/>
        <scheme val="minor"/>
      </rPr>
      <t xml:space="preserve"> leakage (kg/Nm</t>
    </r>
    <r>
      <rPr>
        <vertAlign val="superscript"/>
        <sz val="11"/>
        <color theme="1"/>
        <rFont val="Calibri"/>
        <family val="2"/>
        <scheme val="minor"/>
      </rPr>
      <t>3</t>
    </r>
    <r>
      <rPr>
        <sz val="11"/>
        <color theme="1"/>
        <rFont val="Calibri"/>
        <family val="2"/>
        <scheme val="minor"/>
      </rPr>
      <t xml:space="preserve"> biomethane)</t>
    </r>
  </si>
  <si>
    <r>
      <t>CO</t>
    </r>
    <r>
      <rPr>
        <vertAlign val="subscript"/>
        <sz val="11"/>
        <color theme="1"/>
        <rFont val="Calibri"/>
        <family val="2"/>
        <scheme val="minor"/>
      </rPr>
      <t>2</t>
    </r>
    <r>
      <rPr>
        <sz val="11"/>
        <color theme="1"/>
        <rFont val="Calibri"/>
        <family val="2"/>
        <scheme val="minor"/>
      </rPr>
      <t xml:space="preserve"> emissions w/o CCS (kg/Nm</t>
    </r>
    <r>
      <rPr>
        <vertAlign val="superscript"/>
        <sz val="11"/>
        <color theme="1"/>
        <rFont val="Calibri"/>
        <family val="2"/>
        <scheme val="minor"/>
      </rPr>
      <t>3</t>
    </r>
    <r>
      <rPr>
        <sz val="11"/>
        <color theme="1"/>
        <rFont val="Calibri"/>
        <family val="2"/>
        <scheme val="minor"/>
      </rPr>
      <t xml:space="preserve"> biomethane)</t>
    </r>
  </si>
  <si>
    <r>
      <t>CO</t>
    </r>
    <r>
      <rPr>
        <vertAlign val="subscript"/>
        <sz val="11"/>
        <color theme="1"/>
        <rFont val="Calibri"/>
        <family val="2"/>
        <scheme val="minor"/>
      </rPr>
      <t>2</t>
    </r>
    <r>
      <rPr>
        <sz val="11"/>
        <color theme="1"/>
        <rFont val="Calibri"/>
        <family val="2"/>
        <scheme val="minor"/>
      </rPr>
      <t xml:space="preserve"> emissions w/ CCS (kg/Nm</t>
    </r>
    <r>
      <rPr>
        <vertAlign val="superscript"/>
        <sz val="11"/>
        <color theme="1"/>
        <rFont val="Calibri"/>
        <family val="2"/>
        <scheme val="minor"/>
      </rPr>
      <t>3</t>
    </r>
    <r>
      <rPr>
        <sz val="11"/>
        <color theme="1"/>
        <rFont val="Calibri"/>
        <family val="2"/>
        <scheme val="minor"/>
      </rPr>
      <t xml:space="preserve"> biomethane)</t>
    </r>
  </si>
  <si>
    <r>
      <t>CO</t>
    </r>
    <r>
      <rPr>
        <vertAlign val="subscript"/>
        <sz val="11"/>
        <color theme="1"/>
        <rFont val="Calibri"/>
        <family val="2"/>
        <scheme val="minor"/>
      </rPr>
      <t>2</t>
    </r>
    <r>
      <rPr>
        <sz val="11"/>
        <color theme="1"/>
        <rFont val="Calibri"/>
        <family val="2"/>
        <scheme val="minor"/>
      </rPr>
      <t xml:space="preserve"> to CCS (kg/Nm</t>
    </r>
    <r>
      <rPr>
        <vertAlign val="superscript"/>
        <sz val="11"/>
        <color theme="1"/>
        <rFont val="Calibri"/>
        <family val="2"/>
        <scheme val="minor"/>
      </rPr>
      <t>3</t>
    </r>
    <r>
      <rPr>
        <sz val="11"/>
        <color theme="1"/>
        <rFont val="Calibri"/>
        <family val="2"/>
        <scheme val="minor"/>
      </rPr>
      <t xml:space="preserve"> biomethane)</t>
    </r>
  </si>
  <si>
    <r>
      <t>Electricity for upgrading (kWh/Nm</t>
    </r>
    <r>
      <rPr>
        <vertAlign val="superscript"/>
        <sz val="11"/>
        <color theme="1"/>
        <rFont val="Calibri"/>
        <family val="2"/>
        <scheme val="minor"/>
      </rPr>
      <t>3</t>
    </r>
    <r>
      <rPr>
        <sz val="11"/>
        <color theme="1"/>
        <rFont val="Calibri"/>
        <family val="2"/>
        <scheme val="minor"/>
      </rPr>
      <t xml:space="preserve"> raw biogas)</t>
    </r>
  </si>
  <si>
    <r>
      <t>Electricity total w/o CCS (kWh/Nm</t>
    </r>
    <r>
      <rPr>
        <vertAlign val="superscript"/>
        <sz val="11"/>
        <color theme="1"/>
        <rFont val="Calibri"/>
        <family val="2"/>
        <scheme val="minor"/>
      </rPr>
      <t>3</t>
    </r>
    <r>
      <rPr>
        <sz val="11"/>
        <color theme="1"/>
        <rFont val="Calibri"/>
        <family val="2"/>
        <scheme val="minor"/>
      </rPr>
      <t xml:space="preserve"> biomethane)</t>
    </r>
  </si>
  <si>
    <r>
      <t>Electricity total w/ CCS (kWh/Nm</t>
    </r>
    <r>
      <rPr>
        <vertAlign val="superscript"/>
        <sz val="11"/>
        <color theme="1"/>
        <rFont val="Calibri"/>
        <family val="2"/>
        <scheme val="minor"/>
      </rPr>
      <t>3</t>
    </r>
    <r>
      <rPr>
        <sz val="11"/>
        <color theme="1"/>
        <rFont val="Calibri"/>
        <family val="2"/>
        <scheme val="minor"/>
      </rPr>
      <t xml:space="preserve"> biomethane)</t>
    </r>
  </si>
  <si>
    <r>
      <t>Heat (MJ/Nm</t>
    </r>
    <r>
      <rPr>
        <vertAlign val="superscript"/>
        <sz val="11"/>
        <color theme="1"/>
        <rFont val="Calibri"/>
        <family val="2"/>
        <scheme val="minor"/>
      </rPr>
      <t>3</t>
    </r>
    <r>
      <rPr>
        <sz val="11"/>
        <color theme="1"/>
        <rFont val="Calibri"/>
        <family val="2"/>
        <scheme val="minor"/>
      </rPr>
      <t xml:space="preserve"> biomethane)</t>
    </r>
  </si>
  <si>
    <t>NA</t>
  </si>
  <si>
    <r>
      <t>Water (MJ/Nm</t>
    </r>
    <r>
      <rPr>
        <vertAlign val="superscript"/>
        <sz val="11"/>
        <color theme="1"/>
        <rFont val="Calibri"/>
        <family val="2"/>
        <scheme val="minor"/>
      </rPr>
      <t>3</t>
    </r>
    <r>
      <rPr>
        <sz val="11"/>
        <color theme="1"/>
        <rFont val="Calibri"/>
        <family val="2"/>
        <scheme val="minor"/>
      </rPr>
      <t xml:space="preserve"> biomethane)</t>
    </r>
  </si>
  <si>
    <t>market for biogas, sustainable feedstocks</t>
  </si>
  <si>
    <t>This is the market activity for the supply of biogas produced from sustainable feedstocks</t>
  </si>
  <si>
    <t>natural gas, heating</t>
  </si>
  <si>
    <t>ammonia, anhydrous, liquid</t>
  </si>
  <si>
    <t>Ammonia production</t>
  </si>
  <si>
    <t>Carbon capture efficiency - concentrated CO2 stream (% mass)</t>
  </si>
  <si>
    <t>Carbon capture efficiency - diluted CO2 stream (% mass)</t>
  </si>
  <si>
    <t xml:space="preserve">Carbon capture efficiency from D'Angelo et al. (2021) for the concentrated CO2 separated from syngas </t>
  </si>
  <si>
    <t>Heat production</t>
  </si>
  <si>
    <t>Carbon capture efficiency from Volkart et al. (2016) for the more diluted CO2 in the flue gas</t>
  </si>
  <si>
    <t>Value</t>
  </si>
  <si>
    <t>Total natural gas / feedstock+fuel (m3/kg ammonia)</t>
  </si>
  <si>
    <t>% natural gas feedstock</t>
  </si>
  <si>
    <t>% natural gas fuel</t>
  </si>
  <si>
    <t>IEA (2021). Ammonia Technology Roadmap: Towards more sustainable nitrogen fertiliser production. Available at: https://www.oecd-ilibrary.org/energy/ammonia-technology-roadmap_f6daa4a0-en</t>
  </si>
  <si>
    <t>Cross-check</t>
  </si>
  <si>
    <t>Carbon footprint fossil ammonia (kg CO2-eq/kg)</t>
  </si>
  <si>
    <t>IEA (2021): 2.4 t CO2 per t ammonia</t>
  </si>
  <si>
    <t>Energy intensity (MJ/kg)</t>
  </si>
  <si>
    <t>Total electricty w/ CCS (kWh/kg ammonia)</t>
  </si>
  <si>
    <t>Total electricty w/o CCS (kWh/kg ammonia)</t>
  </si>
  <si>
    <t>carbon dioxide transport and storage, 200 km pipeline, storage 1000m</t>
  </si>
  <si>
    <t>*not sure about the voltage</t>
  </si>
  <si>
    <t>pipeline for carbon dioxide transport, supercritical, 200km w/o recompression</t>
  </si>
  <si>
    <t>market for gas turbine, 10MW electrical</t>
  </si>
  <si>
    <t xml:space="preserve">gas turbine, 10MW electrical </t>
  </si>
  <si>
    <t>drilling, deep borehole/m</t>
  </si>
  <si>
    <t>meter</t>
  </si>
  <si>
    <t>Volkart et al. (2013). Life cycle assessment of carbon capture and storage in power generation and industry in Europe. International Journal of Greenhouse Gas Control 16, 91–106</t>
  </si>
  <si>
    <t>This is the activity for the transport and injection of CO2 in a saline aquifer. The pipeline is assumed to have a length of 200 km. Supercritical conditions are required to safely and permanently store CO2 in geological storage sites, that are achieved at a minimum depth of 1000 m. CO2 leakage during transport was considered negligible and omitted. Further details can be found in Volkart et al. (2013): Life cycle assessment of carbon capture and storage in power generation and industry in Europe. International Journal of Greenhouse Gas Control 16, 91–106</t>
  </si>
  <si>
    <t>Occupation, construction site</t>
  </si>
  <si>
    <t>square meter-year</t>
  </si>
  <si>
    <t>natural resource::land</t>
  </si>
  <si>
    <t>Transformation, from forest, unspecified</t>
  </si>
  <si>
    <t>square meter</t>
  </si>
  <si>
    <t>Transformation, to heterogeneous, agricultural</t>
  </si>
  <si>
    <t>Water, unspecified natural origin</t>
  </si>
  <si>
    <t>drawing of pipe, steel</t>
  </si>
  <si>
    <t>gravel and sand quarry operation</t>
  </si>
  <si>
    <t>sand</t>
  </si>
  <si>
    <t>CH</t>
  </si>
  <si>
    <t>market for diesel, burned in building machine</t>
  </si>
  <si>
    <t>diesel, burned in building machine</t>
  </si>
  <si>
    <t>market for steel, low-alloyed</t>
  </si>
  <si>
    <t>steel, low-alloyed</t>
  </si>
  <si>
    <t>market for stone wool, packed</t>
  </si>
  <si>
    <t>stone wool, packed</t>
  </si>
  <si>
    <t>market for transport, freight train</t>
  </si>
  <si>
    <t>transport, freight train</t>
  </si>
  <si>
    <t xml:space="preserve">transport, freight, lorry, unspecified </t>
  </si>
  <si>
    <t>transport, helicopter</t>
  </si>
  <si>
    <t>hour</t>
  </si>
  <si>
    <t>transport, helicopter, LTO cycle</t>
  </si>
  <si>
    <t>treatment of inert waste, inert material landfill</t>
  </si>
  <si>
    <t>inert waste, for final disposal</t>
  </si>
  <si>
    <t>treatment of scrap steel, inert material landfill</t>
  </si>
  <si>
    <t>scrap steel</t>
  </si>
  <si>
    <t>treatment of waste mineral wool, inert material landfill</t>
  </si>
  <si>
    <t>waste mineral wool, for final disposal</t>
  </si>
  <si>
    <t>BOD5, Biological Oxygen Demand</t>
  </si>
  <si>
    <t>Boron</t>
  </si>
  <si>
    <t>COD, Chemical Oxygen Demand</t>
  </si>
  <si>
    <t>Chloride</t>
  </si>
  <si>
    <t>DOC, Dissolved Organic Carbon</t>
  </si>
  <si>
    <t>Fluoride</t>
  </si>
  <si>
    <t>Hydrocarbons, aromatic</t>
  </si>
  <si>
    <t>Magnesium</t>
  </si>
  <si>
    <t>Methane, dichloro-, HCC-30</t>
  </si>
  <si>
    <t>Phosphorus</t>
  </si>
  <si>
    <t>Silicon</t>
  </si>
  <si>
    <t>Strontium</t>
  </si>
  <si>
    <t>Sulfur</t>
  </si>
  <si>
    <t>TOC, Total Organic Carbon</t>
  </si>
  <si>
    <t>Water, well, in ground</t>
  </si>
  <si>
    <t>activated bentonite production</t>
  </si>
  <si>
    <t>activated bentonite</t>
  </si>
  <si>
    <t>barite production</t>
  </si>
  <si>
    <t>barite</t>
  </si>
  <si>
    <t>cement production, Portland</t>
  </si>
  <si>
    <t>cement, Portland</t>
  </si>
  <si>
    <t>diesel, burned in diesel-electric generating set, 18.5kW</t>
  </si>
  <si>
    <t>lignite mine operation</t>
  </si>
  <si>
    <t>lignite</t>
  </si>
  <si>
    <t>chemical, inorganic</t>
  </si>
  <si>
    <t>treatment of drilling waste, landfarming</t>
  </si>
  <si>
    <t>drilling waste</t>
  </si>
  <si>
    <t>treatment of drilling waste, residual material landfill</t>
  </si>
  <si>
    <t>treatment of hazardous waste, hazardous waste incineration</t>
  </si>
  <si>
    <t>hazardous waste, for incineration</t>
  </si>
  <si>
    <t>Antonini et al. (2020). Hydrogen production from natural gas and biomethane with carbon capture and storage – A techno-environmental analysis. Sustainable Energy Fuels, 4, 2967</t>
  </si>
  <si>
    <t>Inventory from CARMA database as implemented by Antonini et al. (2020): Hydrogen production from natural gas and biomethane with carbon capture and storage – A techno-environmental analysis. Sustainable Energy Fuels, 4, 2967</t>
  </si>
  <si>
    <t>This is the activity for the infrastructure-related inventory for 1 km of pipeline for carbon dioxide transport. Further details can be found in Volkart et al. (2013): Life cycle assessment of carbon capture and storage in power generation and industry in Europe. International Journal of Greenhouse Gas Control 16, 91–106</t>
  </si>
  <si>
    <t>This is the activity for the infrastructure-related inventory for 1 meter of drilling. Further details can be found in Volkart et al. (2013): Life cycle assessment of carbon capture and storage in power generation and industry in Europe. International Journal of Greenhouse Gas Control 16, 91–106</t>
  </si>
  <si>
    <t>heat pump production, heat and power co-generation unit, 160kW electrical</t>
  </si>
  <si>
    <t>market for absorption chiller, 100kW</t>
  </si>
  <si>
    <t>market for liquid storage tank, chemicals, organics</t>
  </si>
  <si>
    <t>market for pump, 40W</t>
  </si>
  <si>
    <t>market for sodium hydroxide, without water, in 50% solution state</t>
  </si>
  <si>
    <t>treatment of spent solvent mixture, hazardous waste incineration</t>
  </si>
  <si>
    <t>heat pump, heat and power co-generation unit, 160kW electrical</t>
  </si>
  <si>
    <t>absorption chiller, 100kW</t>
  </si>
  <si>
    <t>gas turbine, 10MW electrical</t>
  </si>
  <si>
    <t>liquid storage tank, chemicals, organics</t>
  </si>
  <si>
    <t>pump, 40W</t>
  </si>
  <si>
    <t>sodium hydroxide, without water, in 50% solution state</t>
  </si>
  <si>
    <t>spent solvent mixture</t>
  </si>
  <si>
    <t>Monoethanolamine</t>
  </si>
  <si>
    <t>Volkart et al. (2013): Life cycle assessment of carbon capture and storage in power generation and industry in Europe. International Journal of Greenhouse Gas Control 16, 91–106</t>
  </si>
  <si>
    <t>carbon dioxide capture, chemical absorption, with transport and storage, 200 km pipeline sotage 1000m</t>
  </si>
  <si>
    <t>This is the activity for the Haber-Bosch process to produce ammonia using wind-based hydrogen</t>
  </si>
  <si>
    <t>Inventory from Bareiß et al. (2019): Life cycle assessment of hydrogen from proton exchange membrane water electrolysis in future energy systems 237, 862-872. 10.1016/j.apenergy.2019.01.001 as implemented in premise (https://github.com/polca/premise)</t>
  </si>
  <si>
    <t>This is the activity for the production of hydrogen using a PEM electrolyzer with wind-based electricity. The PEM electrolyzers generate hydrogen at around 25 bar. All the impacts are allocated to hydrogen; the by-produt oxygen is assumed to have zero burdens.</t>
  </si>
  <si>
    <t>market for copper, anode</t>
  </si>
  <si>
    <t>market for aluminium, wrought alloy</t>
  </si>
  <si>
    <t>market for polypropylene, granulate</t>
  </si>
  <si>
    <t>market for electronics, for control units</t>
  </si>
  <si>
    <t>copper, anode</t>
  </si>
  <si>
    <t>aluminium, wrought alloy</t>
  </si>
  <si>
    <t>polypropylene, granulate</t>
  </si>
  <si>
    <t>electronics, for control units</t>
  </si>
  <si>
    <t>This is the activity for the manufacturing of a 1 MW electrolyzer</t>
  </si>
  <si>
    <t>Transformation, from grassland, natural (non-use)</t>
  </si>
  <si>
    <t>Transformation, to industrial area</t>
  </si>
  <si>
    <t>Occupation, industrial area</t>
  </si>
  <si>
    <t>This is the activity for the manufacturing of the cell stack for a 1 MW electrolyzer</t>
  </si>
  <si>
    <t>market for titanium</t>
  </si>
  <si>
    <t>market for steel, chromium steel 18/8, hot rolled</t>
  </si>
  <si>
    <t>market for activated carbon, granular</t>
  </si>
  <si>
    <t>market for tetrafluoroethylene</t>
  </si>
  <si>
    <t>market for sulfuric acid</t>
  </si>
  <si>
    <t>market for platinum</t>
  </si>
  <si>
    <t>titanium</t>
  </si>
  <si>
    <t>steel, chromium steel 18/8, hot rolled</t>
  </si>
  <si>
    <t>activated carbon, granular</t>
  </si>
  <si>
    <t>tetrafluoroethylene</t>
  </si>
  <si>
    <t>sulfuric acid</t>
  </si>
  <si>
    <t>platinum</t>
  </si>
  <si>
    <t>natural resource::in ground</t>
  </si>
  <si>
    <t>market for chemical, inorganic</t>
  </si>
  <si>
    <t>This is the activity for post-combustion CO2 capture using chemical absorption with monoethanolamine (MEA).The electricity consumption includes the compresison of CO2 to 110 bar for pipeline transport. Inventory for transport and injection in a saline aquifer included as input.</t>
  </si>
  <si>
    <t>Terlouw et al. (2021): Life Cycle Assessment of Direct Air Carbon Capture and Storage with Low-Carbon Energy Sources. Environ. Sci. Technol. 2021, 55, 16, 11397–11411</t>
  </si>
  <si>
    <t>market for air compressor, screw-type compressor, 300kW</t>
  </si>
  <si>
    <t>air compressor, screw-type compressor, 300kW</t>
  </si>
  <si>
    <t>Carbon dioxide, in air</t>
  </si>
  <si>
    <t>natural resource::in air</t>
  </si>
  <si>
    <t>air::urban air close to ground</t>
  </si>
  <si>
    <t>used as proxy for the adsorbent; small contribution to overall impacts</t>
  </si>
  <si>
    <t>treatment of spent anion exchange resin from potable water production, municipal incineration</t>
  </si>
  <si>
    <t>spent anion exchange resin from potable water production</t>
  </si>
  <si>
    <t>used as proxy for the treatment of the spent adsorbent</t>
  </si>
  <si>
    <t>electricity consumption for CO2 capture, heat pumps, and compression to 110 bar for transport and injection</t>
  </si>
  <si>
    <t>inventory for CO2 transport and storage</t>
  </si>
  <si>
    <t>2.1% loss on site as implemented in premise</t>
  </si>
  <si>
    <t>market for heat pump, brine-water, 10kW</t>
  </si>
  <si>
    <t>heat pump, brine-water, 10kW</t>
  </si>
  <si>
    <t>This is the activity for direct capture of CO2 from the atmosphere (DAC) using a solid sorbent powered by heat pumps with grid electricity. The electricity consumption includes the compresison of CO2 to 110 bar for pipeline transport. Inventory for transport and injection in a saline aquifer included as input. Inventories for the DAC system manufacturing and end-of-life are not included since these information is not reported in the original source (Terlouw et al., 2021) due to confidentiality. However, the impacts of DAC system manufacturing and end-of-life are small compared with the impacts of operation</t>
  </si>
  <si>
    <t>Ausfelder et al. (2022). Perspective Europe 2030 Technology options for CO2- emission reduction of hydrogen feedstock in ammonia production. Available at: https://dechema.de/dechema_media/Downloads/Positionspapiere/Studie+Ammoniak.pdf</t>
  </si>
  <si>
    <t>Ref.</t>
  </si>
  <si>
    <t>Here</t>
  </si>
  <si>
    <t>Ausfelder et al. (2022): average for existing plants in 2010 is 35 GJ/t and can decrease to 32 GJ/t with BAT and 26 GJ/t by 2050. IEA (2021): global average energy intensity of ammonia production is 41 GJ/t; 28 GJ/t for BAT</t>
  </si>
  <si>
    <t>Ausfelder et al. (2022): 65% of natural gas as feedstock and 35% as fuel. IEA (2021): 40% of energy input is consumed as feedstock and 60% for energy purposes</t>
  </si>
  <si>
    <t>biomethane-to-ammonia</t>
  </si>
  <si>
    <t>carbon dioxide capture, from atmosphere, solid sorbents with heat pumps, with transport and storage, 200 km pipeline storage 1000m</t>
  </si>
  <si>
    <t>market share based on Wouters et al. (2020): Market state and trends in renewable and low-carbon gases in Europe - A Gas for Climate report. Available at: https://gasforclimate2050.eu/wp-content/uploads/2020/12/Gas-for-Climate-Market-State-and-Trends-report-2020.pdf</t>
  </si>
  <si>
    <t>electricity required for upgrading plus electricity required for biomethane compression up to 24 bar (natural gas network requirements) plus electricity required to compress CO2 to 110 bar for pipeline transport (for CCS activities only)</t>
  </si>
  <si>
    <t>Mercury II</t>
  </si>
  <si>
    <t>Iridium</t>
  </si>
  <si>
    <t>Arsenic ion</t>
  </si>
  <si>
    <t>Calcium II</t>
  </si>
  <si>
    <t>Chromium III</t>
  </si>
  <si>
    <t>conservative assumption, as Chromium IV has higher toxicity potential</t>
  </si>
  <si>
    <t>Iron ion</t>
  </si>
  <si>
    <t>Particulate Matter, &gt; 10 um</t>
  </si>
  <si>
    <t>Particulate Matter, &lt; 2.5 um</t>
  </si>
  <si>
    <t>Potassium I</t>
  </si>
  <si>
    <t>Sodium I</t>
  </si>
  <si>
    <t>Zinc II</t>
  </si>
  <si>
    <t>market group for concrete, normal strength</t>
  </si>
  <si>
    <t>concrete, normal strength</t>
  </si>
  <si>
    <t>AOX, Adsorbable Organic Halogen</t>
  </si>
  <si>
    <t>Aluminium III</t>
  </si>
  <si>
    <t>Barium II</t>
  </si>
  <si>
    <t>Manganese II</t>
  </si>
  <si>
    <t>Clasification based on Alberici et al. (2022) / Sustainable biomethane potential by feedstock in Europe in 2030</t>
  </si>
  <si>
    <t>Istrate et al. (2023). Prospective analysis of the optimal capacity, economics and carbon footprint of energy recovery from municipal solid waste incineration. Resources, Conservation &amp; Recycling 193 (2023) 106943</t>
  </si>
  <si>
    <t>Istrate et al. (2023) / Maximum methane potential that could be achieved by anaerobic digestion</t>
  </si>
  <si>
    <t>Alberici et al. (2022) / Sustainable biomethane potential by feedstock in Europe in 2030</t>
  </si>
  <si>
    <t>Bakkaloglu et al. (2022) / Average values (note that leakage depends on the size of the facility)</t>
  </si>
  <si>
    <t>Electricity required to supply 1 cubic meter of biogas; it considers that part of the biogas is lost through leakage, combusted for heat production or flared. Electricity consumption rate equals 0.0182 MJ electricity/MJ biogas (produced) for animal manure and 0.0245 MJ/MJ biogas for sequential crop and agricultural residues (JEC, 2020)</t>
  </si>
  <si>
    <t>Lombardi and Francini (2020) / Average values from the literature</t>
  </si>
  <si>
    <t>average gas network losses in Europe; calculated based on the ecoinvent activity 'market group for natural gas, high pressure [Europe without Switzerland]</t>
  </si>
  <si>
    <t>average value for the gas network in Europe; calculated based on the ecoinvent activity 'market group for natural gas, high pressure [Europe without Switzerland]</t>
  </si>
  <si>
    <t>Calculation of parameters used to model LCIs</t>
  </si>
  <si>
    <t>Feedstock</t>
  </si>
  <si>
    <t>Default</t>
  </si>
  <si>
    <t>Biogas production (m3 production/m3 supply)</t>
  </si>
  <si>
    <t>Carbon dioxide, non-fossil (kg/m3 biogas)</t>
  </si>
  <si>
    <t>Methae, non-fossil (kg/m3 biogas)</t>
  </si>
  <si>
    <t>Calculation of methane leakage rate variation for sensitivity analysis</t>
  </si>
  <si>
    <t>Carbon dioxide, in air (kg/m3 biogas)</t>
  </si>
  <si>
    <t>Feedstock input (kg/m3 biogas)</t>
  </si>
  <si>
    <r>
      <t>Biogas carbon content (kg C/m</t>
    </r>
    <r>
      <rPr>
        <i/>
        <vertAlign val="superscript"/>
        <sz val="11"/>
        <color theme="1"/>
        <rFont val="Calibri"/>
        <family val="2"/>
        <scheme val="minor"/>
      </rPr>
      <t>3</t>
    </r>
    <r>
      <rPr>
        <i/>
        <sz val="11"/>
        <color theme="1"/>
        <rFont val="Calibri"/>
        <family val="2"/>
        <scheme val="minor"/>
      </rPr>
      <t xml:space="preserve"> biogas)</t>
    </r>
  </si>
  <si>
    <r>
      <t>Electricity (kWh/m</t>
    </r>
    <r>
      <rPr>
        <b/>
        <vertAlign val="superscript"/>
        <sz val="11"/>
        <color theme="1"/>
        <rFont val="Calibri"/>
        <family val="2"/>
        <scheme val="minor"/>
      </rPr>
      <t>3</t>
    </r>
    <r>
      <rPr>
        <b/>
        <sz val="11"/>
        <color theme="1"/>
        <rFont val="Calibri"/>
        <family val="2"/>
        <scheme val="minor"/>
      </rPr>
      <t xml:space="preserve"> biogas supply)</t>
    </r>
  </si>
  <si>
    <t>Technology</t>
  </si>
  <si>
    <r>
      <t>Biogas input (m</t>
    </r>
    <r>
      <rPr>
        <b/>
        <vertAlign val="superscript"/>
        <sz val="11"/>
        <color theme="1"/>
        <rFont val="Calibri"/>
        <family val="2"/>
        <scheme val="minor"/>
      </rPr>
      <t>3</t>
    </r>
    <r>
      <rPr>
        <b/>
        <sz val="11"/>
        <color theme="1"/>
        <rFont val="Calibri"/>
        <family val="2"/>
        <scheme val="minor"/>
      </rPr>
      <t>/Nm</t>
    </r>
    <r>
      <rPr>
        <b/>
        <vertAlign val="superscript"/>
        <sz val="11"/>
        <color theme="1"/>
        <rFont val="Calibri"/>
        <family val="2"/>
        <scheme val="minor"/>
      </rPr>
      <t>3</t>
    </r>
    <r>
      <rPr>
        <b/>
        <sz val="11"/>
        <color theme="1"/>
        <rFont val="Calibri"/>
        <family val="2"/>
        <scheme val="minor"/>
      </rPr>
      <t xml:space="preserve"> biomethane)</t>
    </r>
  </si>
  <si>
    <r>
      <t>CH</t>
    </r>
    <r>
      <rPr>
        <b/>
        <vertAlign val="subscript"/>
        <sz val="11"/>
        <color theme="1"/>
        <rFont val="Calibri"/>
        <family val="2"/>
        <scheme val="minor"/>
      </rPr>
      <t>4</t>
    </r>
    <r>
      <rPr>
        <b/>
        <sz val="11"/>
        <color theme="1"/>
        <rFont val="Calibri"/>
        <family val="2"/>
        <scheme val="minor"/>
      </rPr>
      <t xml:space="preserve"> leakage (kg/Nm</t>
    </r>
    <r>
      <rPr>
        <b/>
        <vertAlign val="superscript"/>
        <sz val="11"/>
        <color theme="1"/>
        <rFont val="Calibri"/>
        <family val="2"/>
        <scheme val="minor"/>
      </rPr>
      <t>3</t>
    </r>
    <r>
      <rPr>
        <b/>
        <sz val="11"/>
        <color theme="1"/>
        <rFont val="Calibri"/>
        <family val="2"/>
        <scheme val="minor"/>
      </rPr>
      <t xml:space="preserve"> biomethane)</t>
    </r>
  </si>
  <si>
    <r>
      <t>CO</t>
    </r>
    <r>
      <rPr>
        <b/>
        <vertAlign val="subscript"/>
        <sz val="11"/>
        <color theme="1"/>
        <rFont val="Calibri"/>
        <family val="2"/>
        <scheme val="minor"/>
      </rPr>
      <t>2</t>
    </r>
    <r>
      <rPr>
        <b/>
        <sz val="11"/>
        <color theme="1"/>
        <rFont val="Calibri"/>
        <family val="2"/>
        <scheme val="minor"/>
      </rPr>
      <t xml:space="preserve"> emissions w/o CCS (kg/Nm</t>
    </r>
    <r>
      <rPr>
        <b/>
        <vertAlign val="superscript"/>
        <sz val="11"/>
        <color theme="1"/>
        <rFont val="Calibri"/>
        <family val="2"/>
        <scheme val="minor"/>
      </rPr>
      <t>3</t>
    </r>
    <r>
      <rPr>
        <b/>
        <sz val="11"/>
        <color theme="1"/>
        <rFont val="Calibri"/>
        <family val="2"/>
        <scheme val="minor"/>
      </rPr>
      <t xml:space="preserve"> biomethane)</t>
    </r>
  </si>
  <si>
    <r>
      <t>CO</t>
    </r>
    <r>
      <rPr>
        <b/>
        <vertAlign val="subscript"/>
        <sz val="11"/>
        <color theme="1"/>
        <rFont val="Calibri"/>
        <family val="2"/>
        <scheme val="minor"/>
      </rPr>
      <t>2</t>
    </r>
    <r>
      <rPr>
        <b/>
        <sz val="11"/>
        <color theme="1"/>
        <rFont val="Calibri"/>
        <family val="2"/>
        <scheme val="minor"/>
      </rPr>
      <t xml:space="preserve"> emissions w/ CCS (kg/Nm</t>
    </r>
    <r>
      <rPr>
        <b/>
        <vertAlign val="superscript"/>
        <sz val="11"/>
        <color theme="1"/>
        <rFont val="Calibri"/>
        <family val="2"/>
        <scheme val="minor"/>
      </rPr>
      <t>3</t>
    </r>
    <r>
      <rPr>
        <b/>
        <sz val="11"/>
        <color theme="1"/>
        <rFont val="Calibri"/>
        <family val="2"/>
        <scheme val="minor"/>
      </rPr>
      <t xml:space="preserve"> biomethane)</t>
    </r>
  </si>
  <si>
    <r>
      <t>CO</t>
    </r>
    <r>
      <rPr>
        <b/>
        <vertAlign val="subscript"/>
        <sz val="11"/>
        <color theme="1"/>
        <rFont val="Calibri"/>
        <family val="2"/>
        <scheme val="minor"/>
      </rPr>
      <t>2</t>
    </r>
    <r>
      <rPr>
        <b/>
        <sz val="11"/>
        <color theme="1"/>
        <rFont val="Calibri"/>
        <family val="2"/>
        <scheme val="minor"/>
      </rPr>
      <t xml:space="preserve"> to CCS (kg/Nm</t>
    </r>
    <r>
      <rPr>
        <b/>
        <vertAlign val="superscript"/>
        <sz val="11"/>
        <color theme="1"/>
        <rFont val="Calibri"/>
        <family val="2"/>
        <scheme val="minor"/>
      </rPr>
      <t>3</t>
    </r>
    <r>
      <rPr>
        <b/>
        <sz val="11"/>
        <color theme="1"/>
        <rFont val="Calibri"/>
        <family val="2"/>
        <scheme val="minor"/>
      </rPr>
      <t xml:space="preserve"> biomethane)</t>
    </r>
  </si>
  <si>
    <r>
      <t>Electricity total w/o CCS (kWh/Nm</t>
    </r>
    <r>
      <rPr>
        <b/>
        <vertAlign val="superscript"/>
        <sz val="11"/>
        <color theme="1"/>
        <rFont val="Calibri"/>
        <family val="2"/>
        <scheme val="minor"/>
      </rPr>
      <t>3</t>
    </r>
    <r>
      <rPr>
        <b/>
        <sz val="11"/>
        <color theme="1"/>
        <rFont val="Calibri"/>
        <family val="2"/>
        <scheme val="minor"/>
      </rPr>
      <t xml:space="preserve"> biomethane)</t>
    </r>
  </si>
  <si>
    <r>
      <t>Electricity total w/ CCS (kWh/Nm</t>
    </r>
    <r>
      <rPr>
        <b/>
        <vertAlign val="superscript"/>
        <sz val="11"/>
        <color theme="1"/>
        <rFont val="Calibri"/>
        <family val="2"/>
        <scheme val="minor"/>
      </rPr>
      <t>3</t>
    </r>
    <r>
      <rPr>
        <b/>
        <sz val="11"/>
        <color theme="1"/>
        <rFont val="Calibri"/>
        <family val="2"/>
        <scheme val="minor"/>
      </rPr>
      <t xml:space="preserve"> biomethane)</t>
    </r>
  </si>
  <si>
    <t>Generic parameters</t>
  </si>
  <si>
    <r>
      <t>Water (kg/Nm</t>
    </r>
    <r>
      <rPr>
        <b/>
        <vertAlign val="superscript"/>
        <sz val="11"/>
        <color theme="1"/>
        <rFont val="Calibri"/>
        <family val="2"/>
        <scheme val="minor"/>
      </rPr>
      <t>3</t>
    </r>
    <r>
      <rPr>
        <b/>
        <sz val="11"/>
        <color theme="1"/>
        <rFont val="Calibri"/>
        <family val="2"/>
        <scheme val="minor"/>
      </rPr>
      <t xml:space="preserve"> biomethane)</t>
    </r>
  </si>
  <si>
    <r>
      <t>Heat (MJ/Nm</t>
    </r>
    <r>
      <rPr>
        <b/>
        <vertAlign val="superscript"/>
        <sz val="11"/>
        <color theme="1"/>
        <rFont val="Calibri"/>
        <family val="2"/>
        <scheme val="minor"/>
      </rPr>
      <t>3</t>
    </r>
    <r>
      <rPr>
        <b/>
        <sz val="11"/>
        <color theme="1"/>
        <rFont val="Calibri"/>
        <family val="2"/>
        <scheme val="minor"/>
      </rPr>
      <t xml:space="preserve"> biomethane)</t>
    </r>
  </si>
  <si>
    <t>Biomethane distribution</t>
  </si>
  <si>
    <t>Distribution network</t>
  </si>
  <si>
    <t>Methane losses (%)</t>
  </si>
  <si>
    <t>PLACEHOLDER</t>
  </si>
  <si>
    <t>ecoinvent default data; contact the corresponding author</t>
  </si>
  <si>
    <t>ecoinvent default data for ammonia plant operation plus electricity required to compress CO2 to 110 bar for pipeline transport (only activities with CCS)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</si>
</sst>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vertAlign val="superscript"/>
      <sz val="11"/>
      <color theme="1"/>
      <name val="Calibri"/>
      <family val="2"/>
      <scheme val="minor"/>
    </font>
    <font>
      <vertAlign val="subscript"/>
      <sz val="11"/>
      <color theme="1"/>
      <name val="Calibri"/>
      <family val="2"/>
      <scheme val="minor"/>
    </font>
    <font>
      <i/>
      <sz val="11"/>
      <color theme="1"/>
      <name val="Calibri"/>
      <family val="2"/>
      <scheme val="minor"/>
    </font>
    <font>
      <b/>
      <vertAlign val="superscript"/>
      <sz val="11"/>
      <color theme="1"/>
      <name val="Calibri"/>
      <family val="2"/>
      <scheme val="minor"/>
    </font>
    <font>
      <u/>
      <sz val="11"/>
      <color theme="10"/>
      <name val="Calibri"/>
      <family val="2"/>
      <scheme val="minor"/>
    </font>
    <font>
      <b/>
      <i/>
      <sz val="11"/>
      <color theme="1"/>
      <name val="Calibri"/>
      <family val="2"/>
      <scheme val="minor"/>
    </font>
    <font>
      <i/>
      <sz val="11"/>
      <name val="Calibri"/>
      <family val="2"/>
      <scheme val="minor"/>
    </font>
    <font>
      <b/>
      <u/>
      <sz val="14"/>
      <color theme="1"/>
      <name val="Calibri"/>
      <family val="2"/>
      <scheme val="minor"/>
    </font>
    <font>
      <i/>
      <vertAlign val="superscript"/>
      <sz val="11"/>
      <color theme="1"/>
      <name val="Calibri"/>
      <family val="2"/>
      <scheme val="minor"/>
    </font>
    <font>
      <b/>
      <sz val="20"/>
      <color theme="1"/>
      <name val="Calibri"/>
      <family val="2"/>
      <scheme val="minor"/>
    </font>
    <font>
      <b/>
      <vertAlign val="subscript"/>
      <sz val="11"/>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10" fillId="0" borderId="0" applyNumberFormat="0" applyFill="0" applyBorder="0" applyAlignment="0" applyProtection="0"/>
  </cellStyleXfs>
  <cellXfs count="137">
    <xf numFmtId="0" fontId="0" fillId="0" borderId="0" xfId="0"/>
    <xf numFmtId="0" fontId="3" fillId="0" borderId="0" xfId="1" applyFont="1"/>
    <xf numFmtId="0" fontId="3" fillId="0" borderId="0" xfId="0" applyFont="1"/>
    <xf numFmtId="0" fontId="4" fillId="0" borderId="0" xfId="1" applyFont="1"/>
    <xf numFmtId="0" fontId="4" fillId="0" borderId="0" xfId="0" applyFont="1"/>
    <xf numFmtId="11" fontId="3" fillId="0" borderId="0" xfId="0" applyNumberFormat="1" applyFont="1"/>
    <xf numFmtId="0" fontId="3" fillId="2" borderId="0" xfId="0" applyFont="1" applyFill="1"/>
    <xf numFmtId="11" fontId="3" fillId="0" borderId="0" xfId="0" applyNumberFormat="1" applyFont="1" applyAlignment="1">
      <alignment horizontal="left"/>
    </xf>
    <xf numFmtId="0" fontId="3" fillId="0" borderId="0" xfId="0" applyFont="1" applyAlignment="1">
      <alignment horizontal="left"/>
    </xf>
    <xf numFmtId="11" fontId="4" fillId="0" borderId="0" xfId="0" applyNumberFormat="1" applyFont="1" applyAlignment="1">
      <alignment horizontal="left"/>
    </xf>
    <xf numFmtId="0" fontId="2" fillId="0" borderId="0" xfId="0" applyFont="1"/>
    <xf numFmtId="0" fontId="3" fillId="2" borderId="0" xfId="0" applyFont="1" applyFill="1" applyAlignment="1">
      <alignment horizontal="left"/>
    </xf>
    <xf numFmtId="0" fontId="3" fillId="0" borderId="0" xfId="0" quotePrefix="1" applyFont="1" applyAlignment="1">
      <alignment horizontal="left"/>
    </xf>
    <xf numFmtId="0" fontId="0" fillId="0" borderId="0" xfId="0" applyAlignment="1">
      <alignment horizontal="right"/>
    </xf>
    <xf numFmtId="0" fontId="8" fillId="0" borderId="0" xfId="0" applyFont="1"/>
    <xf numFmtId="164" fontId="0" fillId="0" borderId="0" xfId="0" applyNumberFormat="1"/>
    <xf numFmtId="164" fontId="3" fillId="0" borderId="0" xfId="0" applyNumberFormat="1" applyFont="1" applyAlignment="1">
      <alignment horizontal="left"/>
    </xf>
    <xf numFmtId="0" fontId="0" fillId="0" borderId="0" xfId="0" applyAlignment="1">
      <alignment horizontal="right" vertical="top"/>
    </xf>
    <xf numFmtId="0" fontId="10" fillId="0" borderId="0" xfId="2" applyBorder="1" applyAlignment="1">
      <alignment horizontal="right"/>
    </xf>
    <xf numFmtId="0" fontId="5" fillId="0" borderId="0" xfId="1" applyFont="1"/>
    <xf numFmtId="0" fontId="5" fillId="0" borderId="0" xfId="0" applyFont="1"/>
    <xf numFmtId="164" fontId="0" fillId="0" borderId="0" xfId="0" applyNumberFormat="1" applyAlignment="1">
      <alignment horizontal="right"/>
    </xf>
    <xf numFmtId="0" fontId="2" fillId="0" borderId="0" xfId="0" applyFont="1" applyAlignment="1">
      <alignment horizontal="right" wrapText="1"/>
    </xf>
    <xf numFmtId="0" fontId="4" fillId="3" borderId="0" xfId="1" applyFont="1" applyFill="1"/>
    <xf numFmtId="0" fontId="3" fillId="3" borderId="0" xfId="0" applyFont="1" applyFill="1" applyAlignment="1">
      <alignment horizontal="left"/>
    </xf>
    <xf numFmtId="0" fontId="3" fillId="3" borderId="0" xfId="1" applyFont="1" applyFill="1"/>
    <xf numFmtId="0" fontId="3" fillId="3" borderId="0" xfId="0" applyFont="1" applyFill="1"/>
    <xf numFmtId="0" fontId="10" fillId="0" borderId="0" xfId="2" applyBorder="1" applyAlignment="1">
      <alignment horizontal="left"/>
    </xf>
    <xf numFmtId="0" fontId="0" fillId="0" borderId="1" xfId="0" applyBorder="1"/>
    <xf numFmtId="0" fontId="0" fillId="0" borderId="1" xfId="0" applyBorder="1" applyAlignment="1">
      <alignment horizontal="right"/>
    </xf>
    <xf numFmtId="164" fontId="0" fillId="0" borderId="1" xfId="0" applyNumberFormat="1" applyBorder="1" applyAlignment="1">
      <alignment horizontal="right"/>
    </xf>
    <xf numFmtId="0" fontId="2" fillId="0" borderId="1" xfId="0" applyFont="1" applyBorder="1" applyAlignment="1">
      <alignment horizontal="right" wrapText="1"/>
    </xf>
    <xf numFmtId="0" fontId="2" fillId="0" borderId="1" xfId="0" applyFont="1" applyBorder="1" applyAlignment="1">
      <alignment horizontal="right" vertical="center"/>
    </xf>
    <xf numFmtId="0" fontId="10" fillId="0" borderId="0" xfId="2" applyFill="1" applyBorder="1" applyAlignment="1">
      <alignment horizontal="right"/>
    </xf>
    <xf numFmtId="0" fontId="0" fillId="0" borderId="0" xfId="0" applyAlignment="1">
      <alignment horizontal="left"/>
    </xf>
    <xf numFmtId="0" fontId="0" fillId="0" borderId="0" xfId="1" applyFont="1"/>
    <xf numFmtId="11" fontId="0" fillId="0" borderId="0" xfId="1" applyNumberFormat="1" applyFont="1" applyAlignment="1">
      <alignment horizontal="left"/>
    </xf>
    <xf numFmtId="11" fontId="0" fillId="0" borderId="0" xfId="0" applyNumberFormat="1" applyAlignment="1">
      <alignment horizontal="right"/>
    </xf>
    <xf numFmtId="0" fontId="3" fillId="4" borderId="0" xfId="0" applyFont="1" applyFill="1"/>
    <xf numFmtId="0" fontId="0" fillId="4" borderId="0" xfId="0" applyFill="1" applyAlignment="1">
      <alignment horizontal="left"/>
    </xf>
    <xf numFmtId="0" fontId="0" fillId="4" borderId="0" xfId="1" applyFont="1" applyFill="1"/>
    <xf numFmtId="0" fontId="0" fillId="4" borderId="0" xfId="0" applyFill="1"/>
    <xf numFmtId="164" fontId="0" fillId="4" borderId="0" xfId="1" applyNumberFormat="1" applyFont="1" applyFill="1" applyAlignment="1">
      <alignment horizontal="right"/>
    </xf>
    <xf numFmtId="0" fontId="13" fillId="0" borderId="0" xfId="0" applyFont="1"/>
    <xf numFmtId="0" fontId="0" fillId="0" borderId="0" xfId="0" applyAlignment="1">
      <alignment horizontal="left" vertical="top"/>
    </xf>
    <xf numFmtId="164" fontId="0" fillId="0" borderId="0" xfId="0" applyNumberFormat="1" applyAlignment="1">
      <alignment horizontal="left"/>
    </xf>
    <xf numFmtId="164" fontId="8" fillId="0" borderId="0" xfId="0" applyNumberFormat="1" applyFont="1" applyAlignment="1">
      <alignment horizontal="left"/>
    </xf>
    <xf numFmtId="11" fontId="0" fillId="0" borderId="0" xfId="0" applyNumberFormat="1"/>
    <xf numFmtId="164" fontId="3" fillId="0" borderId="0" xfId="1" applyNumberFormat="1" applyFont="1" applyAlignment="1">
      <alignment horizontal="right"/>
    </xf>
    <xf numFmtId="11" fontId="3" fillId="0" borderId="0" xfId="1" applyNumberFormat="1" applyFont="1" applyAlignment="1">
      <alignment horizontal="left"/>
    </xf>
    <xf numFmtId="11" fontId="3" fillId="0" borderId="0" xfId="0" applyNumberFormat="1" applyFont="1" applyAlignment="1">
      <alignment horizontal="right"/>
    </xf>
    <xf numFmtId="0" fontId="0" fillId="0" borderId="1" xfId="0" applyBorder="1" applyAlignment="1">
      <alignment horizontal="left"/>
    </xf>
    <xf numFmtId="0" fontId="11" fillId="0" borderId="0" xfId="0" applyFont="1" applyAlignment="1">
      <alignment horizontal="left"/>
    </xf>
    <xf numFmtId="0" fontId="2" fillId="0" borderId="1" xfId="0" applyFont="1" applyBorder="1" applyAlignment="1">
      <alignment horizontal="right"/>
    </xf>
    <xf numFmtId="164" fontId="3" fillId="0" borderId="0" xfId="0" applyNumberFormat="1" applyFont="1"/>
    <xf numFmtId="0" fontId="5" fillId="0" borderId="0" xfId="0" applyFont="1" applyAlignment="1">
      <alignment horizontal="left"/>
    </xf>
    <xf numFmtId="0" fontId="3" fillId="4" borderId="0" xfId="0" applyFont="1" applyFill="1" applyAlignment="1">
      <alignment horizontal="left"/>
    </xf>
    <xf numFmtId="0" fontId="3" fillId="4" borderId="0" xfId="1" applyFont="1" applyFill="1"/>
    <xf numFmtId="164" fontId="3" fillId="4" borderId="0" xfId="0" applyNumberFormat="1" applyFont="1" applyFill="1" applyAlignment="1">
      <alignment horizontal="right"/>
    </xf>
    <xf numFmtId="10" fontId="0" fillId="0" borderId="0" xfId="0" applyNumberFormat="1"/>
    <xf numFmtId="10" fontId="3" fillId="0" borderId="0" xfId="0" applyNumberFormat="1" applyFont="1"/>
    <xf numFmtId="10" fontId="0" fillId="5" borderId="1" xfId="0" applyNumberFormat="1" applyFill="1" applyBorder="1" applyAlignment="1">
      <alignment horizontal="right"/>
    </xf>
    <xf numFmtId="2" fontId="0" fillId="6" borderId="1" xfId="0" applyNumberFormat="1" applyFill="1" applyBorder="1" applyAlignment="1">
      <alignment horizontal="right"/>
    </xf>
    <xf numFmtId="164" fontId="0" fillId="6" borderId="1" xfId="0" applyNumberFormat="1" applyFill="1" applyBorder="1" applyAlignment="1">
      <alignment horizontal="right"/>
    </xf>
    <xf numFmtId="10" fontId="3" fillId="5" borderId="1" xfId="0" applyNumberFormat="1" applyFont="1" applyFill="1" applyBorder="1" applyAlignment="1">
      <alignment horizontal="right"/>
    </xf>
    <xf numFmtId="10" fontId="12" fillId="5" borderId="1" xfId="0" applyNumberFormat="1" applyFont="1" applyFill="1" applyBorder="1" applyAlignment="1">
      <alignment horizontal="right"/>
    </xf>
    <xf numFmtId="164" fontId="8" fillId="6" borderId="1" xfId="0" applyNumberFormat="1" applyFont="1" applyFill="1" applyBorder="1" applyAlignment="1">
      <alignment horizontal="right"/>
    </xf>
    <xf numFmtId="0" fontId="2" fillId="0" borderId="1" xfId="0" applyFont="1" applyBorder="1" applyAlignment="1">
      <alignment horizontal="right" vertical="center" wrapText="1"/>
    </xf>
    <xf numFmtId="11" fontId="0" fillId="6" borderId="1" xfId="0" applyNumberFormat="1" applyFill="1" applyBorder="1" applyAlignment="1">
      <alignment horizontal="right"/>
    </xf>
    <xf numFmtId="0" fontId="2" fillId="5" borderId="0" xfId="0" applyFont="1" applyFill="1"/>
    <xf numFmtId="0" fontId="2" fillId="6" borderId="0" xfId="0" applyFont="1" applyFill="1"/>
    <xf numFmtId="0" fontId="2" fillId="0" borderId="1" xfId="0" applyFont="1" applyBorder="1" applyAlignment="1">
      <alignment horizontal="right" vertical="top" wrapText="1"/>
    </xf>
    <xf numFmtId="10" fontId="0" fillId="0" borderId="0" xfId="0" applyNumberFormat="1" applyAlignment="1">
      <alignment vertical="center"/>
    </xf>
    <xf numFmtId="0" fontId="2" fillId="0" borderId="5" xfId="0" applyFont="1" applyBorder="1" applyAlignment="1">
      <alignment horizontal="right" vertical="center" wrapText="1"/>
    </xf>
    <xf numFmtId="164" fontId="0" fillId="6" borderId="1" xfId="0" applyNumberFormat="1" applyFill="1" applyBorder="1"/>
    <xf numFmtId="164" fontId="0" fillId="5" borderId="1" xfId="0" applyNumberFormat="1" applyFill="1" applyBorder="1"/>
    <xf numFmtId="1" fontId="0" fillId="5" borderId="1" xfId="0" applyNumberFormat="1" applyFill="1" applyBorder="1" applyAlignment="1">
      <alignment horizontal="right" vertical="top" wrapText="1"/>
    </xf>
    <xf numFmtId="164" fontId="8" fillId="5" borderId="1" xfId="0" applyNumberFormat="1" applyFont="1" applyFill="1" applyBorder="1" applyAlignment="1">
      <alignment horizontal="right"/>
    </xf>
    <xf numFmtId="164" fontId="0" fillId="6" borderId="1" xfId="0" applyNumberFormat="1" applyFill="1" applyBorder="1" applyAlignment="1">
      <alignment horizontal="right" vertical="top" wrapText="1"/>
    </xf>
    <xf numFmtId="10" fontId="0" fillId="5" borderId="1" xfId="0" applyNumberFormat="1" applyFill="1" applyBorder="1" applyAlignment="1">
      <alignment horizontal="right" vertical="center" wrapText="1"/>
    </xf>
    <xf numFmtId="10" fontId="0" fillId="5" borderId="1" xfId="0" applyNumberFormat="1" applyFill="1" applyBorder="1" applyAlignment="1">
      <alignment horizontal="right" vertical="top" wrapText="1"/>
    </xf>
    <xf numFmtId="1" fontId="0" fillId="5" borderId="1" xfId="0" applyNumberFormat="1" applyFill="1" applyBorder="1" applyAlignment="1">
      <alignment horizontal="right" vertical="center" wrapText="1"/>
    </xf>
    <xf numFmtId="10" fontId="0" fillId="0" borderId="0" xfId="0" applyNumberFormat="1" applyAlignment="1">
      <alignment vertical="top"/>
    </xf>
    <xf numFmtId="165" fontId="0" fillId="6" borderId="1" xfId="0" applyNumberFormat="1" applyFill="1" applyBorder="1" applyAlignment="1">
      <alignment horizontal="right"/>
    </xf>
    <xf numFmtId="10" fontId="12" fillId="6" borderId="1" xfId="0" applyNumberFormat="1" applyFont="1" applyFill="1" applyBorder="1" applyAlignment="1">
      <alignment horizontal="right"/>
    </xf>
    <xf numFmtId="164" fontId="0" fillId="6" borderId="1" xfId="0" applyNumberFormat="1" applyFill="1" applyBorder="1" applyAlignment="1">
      <alignment horizontal="right" vertical="center" wrapText="1"/>
    </xf>
    <xf numFmtId="2" fontId="0" fillId="6" borderId="1" xfId="0" applyNumberFormat="1" applyFill="1" applyBorder="1" applyAlignment="1">
      <alignment horizontal="right" vertical="center" wrapText="1"/>
    </xf>
    <xf numFmtId="164" fontId="3" fillId="0" borderId="0" xfId="1" applyNumberFormat="1" applyFont="1"/>
    <xf numFmtId="0" fontId="3" fillId="0" borderId="0" xfId="0" applyFont="1" applyAlignment="1">
      <alignment horizontal="center"/>
    </xf>
    <xf numFmtId="11" fontId="0" fillId="6" borderId="1" xfId="0" applyNumberFormat="1" applyFill="1" applyBorder="1" applyAlignment="1">
      <alignment horizontal="right" vertical="top" wrapText="1"/>
    </xf>
    <xf numFmtId="0" fontId="3" fillId="0" borderId="0" xfId="0" applyFont="1" applyAlignment="1">
      <alignment horizontal="right" vertical="center" wrapText="1"/>
    </xf>
    <xf numFmtId="1" fontId="0" fillId="5" borderId="1" xfId="0" applyNumberFormat="1" applyFill="1" applyBorder="1" applyAlignment="1">
      <alignment horizontal="right"/>
    </xf>
    <xf numFmtId="9" fontId="0" fillId="0" borderId="0" xfId="0" applyNumberFormat="1"/>
    <xf numFmtId="2" fontId="0" fillId="0" borderId="0" xfId="0" applyNumberFormat="1" applyAlignment="1">
      <alignment horizontal="right"/>
    </xf>
    <xf numFmtId="9" fontId="0" fillId="0" borderId="0" xfId="0" applyNumberFormat="1" applyAlignment="1">
      <alignment horizontal="right"/>
    </xf>
    <xf numFmtId="1" fontId="0" fillId="0" borderId="1" xfId="0" applyNumberFormat="1" applyBorder="1" applyAlignment="1">
      <alignment horizontal="right"/>
    </xf>
    <xf numFmtId="1" fontId="0" fillId="0" borderId="0" xfId="0" applyNumberFormat="1"/>
    <xf numFmtId="11" fontId="0" fillId="0" borderId="0" xfId="0" applyNumberFormat="1" applyAlignment="1">
      <alignment horizontal="left"/>
    </xf>
    <xf numFmtId="0" fontId="3" fillId="0" borderId="0" xfId="1" applyFont="1" applyAlignment="1">
      <alignment horizontal="left"/>
    </xf>
    <xf numFmtId="164" fontId="2" fillId="0" borderId="0" xfId="0" applyNumberFormat="1" applyFont="1" applyAlignment="1">
      <alignment horizontal="right"/>
    </xf>
    <xf numFmtId="0" fontId="15" fillId="0" borderId="0" xfId="0" applyFont="1"/>
    <xf numFmtId="0" fontId="0" fillId="0" borderId="1" xfId="0" applyBorder="1" applyAlignment="1">
      <alignment horizontal="left" vertical="top" wrapText="1"/>
    </xf>
    <xf numFmtId="0" fontId="2" fillId="0" borderId="1" xfId="0" applyFont="1" applyBorder="1" applyAlignment="1">
      <alignment horizontal="left" vertical="center" wrapText="1"/>
    </xf>
    <xf numFmtId="0" fontId="2" fillId="5" borderId="0" xfId="0" applyFont="1" applyFill="1" applyAlignment="1">
      <alignment horizontal="center"/>
    </xf>
    <xf numFmtId="0" fontId="2" fillId="6" borderId="0" xfId="0" applyFont="1" applyFill="1" applyAlignment="1">
      <alignment horizontal="center"/>
    </xf>
    <xf numFmtId="0" fontId="2" fillId="0" borderId="1" xfId="0" applyFont="1" applyBorder="1" applyAlignment="1">
      <alignment horizontal="center" vertical="center" wrapText="1"/>
    </xf>
    <xf numFmtId="10" fontId="0" fillId="5" borderId="1" xfId="0" applyNumberFormat="1" applyFill="1" applyBorder="1" applyAlignment="1">
      <alignment horizontal="center" vertical="top"/>
    </xf>
    <xf numFmtId="0" fontId="0" fillId="0" borderId="0" xfId="0" applyAlignment="1">
      <alignment vertical="top"/>
    </xf>
    <xf numFmtId="0" fontId="2" fillId="0" borderId="1" xfId="0" applyFont="1" applyBorder="1" applyAlignment="1">
      <alignment horizontal="left" vertical="top" wrapText="1"/>
    </xf>
    <xf numFmtId="164" fontId="2" fillId="6" borderId="1" xfId="0" applyNumberFormat="1" applyFont="1" applyFill="1" applyBorder="1" applyAlignment="1">
      <alignment horizontal="center" vertical="top"/>
    </xf>
    <xf numFmtId="166" fontId="2" fillId="0" borderId="1" xfId="0" applyNumberFormat="1" applyFont="1" applyBorder="1" applyAlignment="1">
      <alignment horizontal="center" vertical="center" wrapText="1"/>
    </xf>
    <xf numFmtId="0" fontId="8" fillId="0" borderId="1" xfId="0" applyFont="1" applyBorder="1" applyAlignment="1">
      <alignment horizontal="left" vertical="top" wrapText="1"/>
    </xf>
    <xf numFmtId="164" fontId="8" fillId="6" borderId="1" xfId="0" applyNumberFormat="1" applyFont="1" applyFill="1" applyBorder="1" applyAlignment="1">
      <alignment horizontal="center" vertical="top"/>
    </xf>
    <xf numFmtId="0" fontId="8" fillId="0" borderId="1" xfId="0" applyFont="1" applyBorder="1" applyAlignment="1">
      <alignment horizontal="left" wrapText="1"/>
    </xf>
    <xf numFmtId="0" fontId="2" fillId="0" borderId="1" xfId="0" applyFont="1" applyBorder="1" applyAlignment="1">
      <alignment horizontal="left" wrapText="1"/>
    </xf>
    <xf numFmtId="164" fontId="2" fillId="6" borderId="1" xfId="0" applyNumberFormat="1" applyFont="1" applyFill="1" applyBorder="1" applyAlignment="1">
      <alignment horizontal="center" vertical="center"/>
    </xf>
    <xf numFmtId="165" fontId="2" fillId="6" borderId="1" xfId="0" applyNumberFormat="1" applyFont="1" applyFill="1" applyBorder="1" applyAlignment="1">
      <alignment horizontal="center" vertical="center"/>
    </xf>
    <xf numFmtId="11" fontId="2" fillId="6" borderId="1" xfId="0" applyNumberFormat="1" applyFont="1" applyFill="1" applyBorder="1" applyAlignment="1">
      <alignment horizontal="center" vertical="center"/>
    </xf>
    <xf numFmtId="0" fontId="8" fillId="0" borderId="1" xfId="0" applyFont="1" applyBorder="1" applyAlignment="1">
      <alignment horizontal="left"/>
    </xf>
    <xf numFmtId="10" fontId="8" fillId="5" borderId="1" xfId="0" applyNumberFormat="1" applyFont="1" applyFill="1" applyBorder="1" applyAlignment="1">
      <alignment horizontal="center" vertical="top"/>
    </xf>
    <xf numFmtId="10" fontId="0" fillId="0" borderId="0" xfId="0" applyNumberFormat="1" applyAlignment="1">
      <alignment horizontal="right"/>
    </xf>
    <xf numFmtId="0" fontId="2" fillId="0" borderId="1" xfId="0" applyFont="1" applyBorder="1" applyAlignment="1">
      <alignment horizontal="center"/>
    </xf>
    <xf numFmtId="2" fontId="0" fillId="6" borderId="4" xfId="0" applyNumberFormat="1" applyFill="1" applyBorder="1" applyAlignment="1">
      <alignment horizontal="center"/>
    </xf>
    <xf numFmtId="2" fontId="0" fillId="6" borderId="2" xfId="0" applyNumberFormat="1" applyFill="1" applyBorder="1" applyAlignment="1">
      <alignment horizontal="center"/>
    </xf>
    <xf numFmtId="2" fontId="0" fillId="6" borderId="3" xfId="0" applyNumberFormat="1" applyFill="1" applyBorder="1" applyAlignment="1">
      <alignment horizontal="center"/>
    </xf>
    <xf numFmtId="10" fontId="0" fillId="6" borderId="4" xfId="0" applyNumberFormat="1" applyFill="1" applyBorder="1" applyAlignment="1">
      <alignment horizontal="center"/>
    </xf>
    <xf numFmtId="10" fontId="0" fillId="6" borderId="2" xfId="0" applyNumberFormat="1" applyFill="1" applyBorder="1" applyAlignment="1">
      <alignment horizontal="center"/>
    </xf>
    <xf numFmtId="10" fontId="0" fillId="6" borderId="3" xfId="0" applyNumberFormat="1" applyFill="1" applyBorder="1" applyAlignment="1">
      <alignment horizont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164" fontId="5" fillId="0" borderId="0" xfId="0" applyNumberFormat="1" applyFont="1" applyAlignment="1">
      <alignment horizontal="right"/>
    </xf>
    <xf numFmtId="11" fontId="5" fillId="0" borderId="0" xfId="0" applyNumberFormat="1" applyFont="1" applyAlignment="1">
      <alignment horizontal="right"/>
    </xf>
  </cellXfs>
  <cellStyles count="3">
    <cellStyle name="Hyperlink" xfId="2" builtinId="8"/>
    <cellStyle name="Normal" xfId="0" builtinId="0"/>
    <cellStyle name="Normal 11" xfId="1" xr:uid="{9CDD6B48-F1B9-40D2-8A61-7BBFEF837C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engineeringtoolbox.com/gas-density-d_158.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0A59A-4D03-4E75-AE6F-516BEA6805EA}">
  <dimension ref="A1:K185"/>
  <sheetViews>
    <sheetView topLeftCell="A136" zoomScale="85" zoomScaleNormal="85" workbookViewId="0">
      <selection activeCell="A177" sqref="A177"/>
    </sheetView>
  </sheetViews>
  <sheetFormatPr defaultRowHeight="15" x14ac:dyDescent="0.25"/>
  <cols>
    <col min="1" max="1" width="73.28515625" customWidth="1"/>
    <col min="2" max="2" width="35.140625" customWidth="1"/>
    <col min="3" max="3" width="10.28515625" bestFit="1" customWidth="1"/>
    <col min="4" max="4" width="12.42578125" bestFit="1" customWidth="1"/>
    <col min="5" max="5" width="22" bestFit="1" customWidth="1"/>
    <col min="6" max="6" width="13.85546875" bestFit="1" customWidth="1"/>
    <col min="7" max="7" width="11" bestFit="1" customWidth="1"/>
    <col min="8" max="8" width="14.5703125" bestFit="1" customWidth="1"/>
  </cols>
  <sheetData>
    <row r="1" spans="1:11" s="26" customFormat="1" x14ac:dyDescent="0.25">
      <c r="A1" s="23" t="s">
        <v>0</v>
      </c>
      <c r="B1" s="23" t="s">
        <v>518</v>
      </c>
      <c r="C1" s="24"/>
      <c r="D1" s="25"/>
      <c r="E1" s="25"/>
      <c r="F1" s="25"/>
      <c r="G1" s="25"/>
      <c r="H1" s="25"/>
      <c r="I1" s="25"/>
      <c r="J1" s="25"/>
      <c r="K1" s="25"/>
    </row>
    <row r="2" spans="1:11" s="6" customFormat="1" x14ac:dyDescent="0.25">
      <c r="C2" s="11"/>
    </row>
    <row r="3" spans="1:11" s="2" customFormat="1" x14ac:dyDescent="0.25">
      <c r="A3" s="4" t="s">
        <v>1</v>
      </c>
      <c r="B3" s="4" t="s">
        <v>27</v>
      </c>
      <c r="C3" s="7"/>
    </row>
    <row r="4" spans="1:11" s="2" customFormat="1" x14ac:dyDescent="0.25">
      <c r="A4" s="4" t="s">
        <v>2</v>
      </c>
      <c r="B4" s="2" t="s">
        <v>119</v>
      </c>
      <c r="C4" s="7"/>
    </row>
    <row r="5" spans="1:11" s="2" customFormat="1" x14ac:dyDescent="0.25">
      <c r="A5" s="4" t="s">
        <v>3</v>
      </c>
      <c r="B5" s="2" t="s">
        <v>33</v>
      </c>
      <c r="C5" s="7"/>
    </row>
    <row r="6" spans="1:11" s="2" customFormat="1" x14ac:dyDescent="0.25">
      <c r="A6" s="10" t="s">
        <v>10</v>
      </c>
      <c r="B6" s="2" t="s">
        <v>24</v>
      </c>
      <c r="C6" s="7"/>
    </row>
    <row r="7" spans="1:11" s="2" customFormat="1" x14ac:dyDescent="0.25">
      <c r="A7" s="4" t="s">
        <v>4</v>
      </c>
      <c r="B7" s="8">
        <v>1</v>
      </c>
      <c r="C7" s="7"/>
      <c r="D7" s="5"/>
    </row>
    <row r="8" spans="1:11" s="2" customFormat="1" x14ac:dyDescent="0.25">
      <c r="A8" s="4" t="s">
        <v>6</v>
      </c>
      <c r="B8" s="2" t="s">
        <v>23</v>
      </c>
      <c r="C8" s="7"/>
      <c r="D8" s="5"/>
    </row>
    <row r="9" spans="1:11" s="2" customFormat="1" x14ac:dyDescent="0.25">
      <c r="A9" s="4" t="s">
        <v>18</v>
      </c>
      <c r="C9" s="7"/>
      <c r="D9" s="5"/>
    </row>
    <row r="10" spans="1:11" s="2" customFormat="1" x14ac:dyDescent="0.25">
      <c r="A10" s="4" t="s">
        <v>8</v>
      </c>
      <c r="C10" s="7"/>
    </row>
    <row r="11" spans="1:11" s="2" customFormat="1" x14ac:dyDescent="0.25">
      <c r="A11" s="4" t="s">
        <v>9</v>
      </c>
      <c r="B11" s="4" t="s">
        <v>10</v>
      </c>
      <c r="C11" s="9" t="s">
        <v>11</v>
      </c>
      <c r="D11" s="4" t="s">
        <v>6</v>
      </c>
      <c r="E11" s="4" t="s">
        <v>12</v>
      </c>
      <c r="F11" s="4" t="s">
        <v>13</v>
      </c>
      <c r="G11" s="4" t="s">
        <v>3</v>
      </c>
      <c r="H11" s="4" t="s">
        <v>5</v>
      </c>
      <c r="I11" s="4" t="s">
        <v>2</v>
      </c>
    </row>
    <row r="12" spans="1:11" s="2" customFormat="1" x14ac:dyDescent="0.25">
      <c r="A12" s="1" t="s">
        <v>27</v>
      </c>
      <c r="B12" s="1" t="s">
        <v>24</v>
      </c>
      <c r="C12" s="16">
        <v>1</v>
      </c>
      <c r="D12" s="2" t="s">
        <v>23</v>
      </c>
      <c r="E12" s="1" t="s">
        <v>518</v>
      </c>
      <c r="F12" s="1"/>
      <c r="G12" s="1" t="s">
        <v>33</v>
      </c>
      <c r="H12" s="1" t="s">
        <v>14</v>
      </c>
      <c r="I12" s="1"/>
      <c r="J12" s="1"/>
      <c r="K12" s="1"/>
    </row>
    <row r="13" spans="1:11" s="2" customFormat="1" x14ac:dyDescent="0.25">
      <c r="A13" s="7" t="s">
        <v>500</v>
      </c>
      <c r="C13" s="16">
        <f>ParametersCalculation!$D$32</f>
        <v>1.9826074999999996</v>
      </c>
      <c r="D13" s="2" t="s">
        <v>7</v>
      </c>
      <c r="E13" s="2" t="s">
        <v>16</v>
      </c>
      <c r="F13" s="2" t="s">
        <v>501</v>
      </c>
      <c r="H13" s="2" t="s">
        <v>17</v>
      </c>
      <c r="I13" s="2" t="s">
        <v>171</v>
      </c>
    </row>
    <row r="14" spans="1:11" s="6" customFormat="1" x14ac:dyDescent="0.25">
      <c r="C14" s="11"/>
    </row>
    <row r="15" spans="1:11" s="2" customFormat="1" x14ac:dyDescent="0.25">
      <c r="A15" s="4" t="s">
        <v>1</v>
      </c>
      <c r="B15" s="4" t="s">
        <v>80</v>
      </c>
      <c r="C15" s="7"/>
    </row>
    <row r="16" spans="1:11" s="2" customFormat="1" x14ac:dyDescent="0.25">
      <c r="A16" s="4" t="s">
        <v>2</v>
      </c>
      <c r="B16" s="2" t="s">
        <v>120</v>
      </c>
      <c r="C16" s="7"/>
    </row>
    <row r="17" spans="1:11" s="2" customFormat="1" x14ac:dyDescent="0.25">
      <c r="A17" s="4" t="s">
        <v>3</v>
      </c>
      <c r="B17" s="2" t="s">
        <v>33</v>
      </c>
      <c r="C17" s="7"/>
    </row>
    <row r="18" spans="1:11" s="2" customFormat="1" x14ac:dyDescent="0.25">
      <c r="A18" s="10" t="s">
        <v>10</v>
      </c>
      <c r="B18" s="2" t="s">
        <v>24</v>
      </c>
      <c r="C18" s="7"/>
    </row>
    <row r="19" spans="1:11" s="2" customFormat="1" x14ac:dyDescent="0.25">
      <c r="A19" s="4" t="s">
        <v>4</v>
      </c>
      <c r="B19" s="8">
        <v>1</v>
      </c>
      <c r="C19" s="7"/>
      <c r="D19" s="5"/>
    </row>
    <row r="20" spans="1:11" s="2" customFormat="1" x14ac:dyDescent="0.25">
      <c r="A20" s="4" t="s">
        <v>6</v>
      </c>
      <c r="B20" s="2" t="s">
        <v>23</v>
      </c>
      <c r="C20" s="7"/>
      <c r="D20" s="5"/>
    </row>
    <row r="21" spans="1:11" s="2" customFormat="1" x14ac:dyDescent="0.25">
      <c r="A21" s="4" t="s">
        <v>18</v>
      </c>
      <c r="C21" s="7"/>
      <c r="D21" s="5"/>
    </row>
    <row r="22" spans="1:11" s="2" customFormat="1" x14ac:dyDescent="0.25">
      <c r="A22" s="4" t="s">
        <v>8</v>
      </c>
      <c r="C22" s="7"/>
    </row>
    <row r="23" spans="1:11" s="2" customFormat="1" x14ac:dyDescent="0.25">
      <c r="A23" s="4" t="s">
        <v>9</v>
      </c>
      <c r="B23" s="4" t="s">
        <v>10</v>
      </c>
      <c r="C23" s="9" t="s">
        <v>11</v>
      </c>
      <c r="D23" s="4" t="s">
        <v>6</v>
      </c>
      <c r="E23" s="4" t="s">
        <v>12</v>
      </c>
      <c r="F23" s="4" t="s">
        <v>13</v>
      </c>
      <c r="G23" s="4" t="s">
        <v>3</v>
      </c>
      <c r="H23" s="4" t="s">
        <v>5</v>
      </c>
      <c r="I23" s="4" t="s">
        <v>2</v>
      </c>
    </row>
    <row r="24" spans="1:11" s="2" customFormat="1" x14ac:dyDescent="0.25">
      <c r="A24" s="1" t="s">
        <v>80</v>
      </c>
      <c r="B24" s="1" t="s">
        <v>24</v>
      </c>
      <c r="C24" s="16">
        <v>1</v>
      </c>
      <c r="D24" s="2" t="s">
        <v>23</v>
      </c>
      <c r="E24" s="1" t="s">
        <v>518</v>
      </c>
      <c r="F24" s="1"/>
      <c r="G24" s="1" t="s">
        <v>33</v>
      </c>
      <c r="H24" s="1" t="s">
        <v>14</v>
      </c>
      <c r="I24" s="1"/>
      <c r="J24" s="1"/>
      <c r="K24" s="1"/>
    </row>
    <row r="25" spans="1:11" s="2" customFormat="1" x14ac:dyDescent="0.25">
      <c r="A25" s="7" t="s">
        <v>500</v>
      </c>
      <c r="C25" s="16">
        <f>ParametersCalculation!$E$32</f>
        <v>1.9826074999999996</v>
      </c>
      <c r="D25" s="2" t="s">
        <v>7</v>
      </c>
      <c r="E25" s="2" t="s">
        <v>16</v>
      </c>
      <c r="F25" s="2" t="s">
        <v>501</v>
      </c>
      <c r="H25" s="2" t="s">
        <v>17</v>
      </c>
      <c r="I25" s="2" t="s">
        <v>171</v>
      </c>
    </row>
    <row r="26" spans="1:11" s="6" customFormat="1" x14ac:dyDescent="0.25">
      <c r="C26" s="11"/>
    </row>
    <row r="27" spans="1:11" s="2" customFormat="1" x14ac:dyDescent="0.25">
      <c r="A27" s="4" t="s">
        <v>1</v>
      </c>
      <c r="B27" s="4" t="s">
        <v>66</v>
      </c>
      <c r="C27" s="7"/>
    </row>
    <row r="28" spans="1:11" s="2" customFormat="1" x14ac:dyDescent="0.25">
      <c r="A28" s="4" t="s">
        <v>2</v>
      </c>
      <c r="B28" s="2" t="s">
        <v>121</v>
      </c>
      <c r="C28" s="7"/>
    </row>
    <row r="29" spans="1:11" s="2" customFormat="1" x14ac:dyDescent="0.25">
      <c r="A29" s="4" t="s">
        <v>3</v>
      </c>
      <c r="B29" s="2" t="s">
        <v>33</v>
      </c>
      <c r="C29" s="7"/>
    </row>
    <row r="30" spans="1:11" s="2" customFormat="1" x14ac:dyDescent="0.25">
      <c r="A30" s="10" t="s">
        <v>10</v>
      </c>
      <c r="B30" s="2" t="s">
        <v>24</v>
      </c>
      <c r="C30" s="7"/>
    </row>
    <row r="31" spans="1:11" s="2" customFormat="1" x14ac:dyDescent="0.25">
      <c r="A31" s="4" t="s">
        <v>4</v>
      </c>
      <c r="B31" s="8">
        <v>1</v>
      </c>
      <c r="C31" s="7"/>
      <c r="D31" s="5"/>
    </row>
    <row r="32" spans="1:11" s="2" customFormat="1" x14ac:dyDescent="0.25">
      <c r="A32" s="4" t="s">
        <v>6</v>
      </c>
      <c r="B32" s="2" t="s">
        <v>23</v>
      </c>
      <c r="C32" s="7"/>
      <c r="D32" s="5"/>
    </row>
    <row r="33" spans="1:11" s="2" customFormat="1" x14ac:dyDescent="0.25">
      <c r="A33" s="4" t="s">
        <v>18</v>
      </c>
      <c r="C33" s="7"/>
      <c r="D33" s="5"/>
    </row>
    <row r="34" spans="1:11" s="2" customFormat="1" x14ac:dyDescent="0.25">
      <c r="A34" s="4" t="s">
        <v>8</v>
      </c>
      <c r="C34" s="7"/>
    </row>
    <row r="35" spans="1:11" s="2" customFormat="1" x14ac:dyDescent="0.25">
      <c r="A35" s="4" t="s">
        <v>9</v>
      </c>
      <c r="B35" s="4" t="s">
        <v>10</v>
      </c>
      <c r="C35" s="9" t="s">
        <v>11</v>
      </c>
      <c r="D35" s="4" t="s">
        <v>6</v>
      </c>
      <c r="E35" s="4" t="s">
        <v>12</v>
      </c>
      <c r="F35" s="4" t="s">
        <v>13</v>
      </c>
      <c r="G35" s="4" t="s">
        <v>3</v>
      </c>
      <c r="H35" s="4" t="s">
        <v>5</v>
      </c>
      <c r="I35" s="4" t="s">
        <v>2</v>
      </c>
    </row>
    <row r="36" spans="1:11" s="2" customFormat="1" x14ac:dyDescent="0.25">
      <c r="A36" s="1" t="s">
        <v>66</v>
      </c>
      <c r="B36" s="1" t="s">
        <v>24</v>
      </c>
      <c r="C36" s="16">
        <v>1</v>
      </c>
      <c r="D36" s="2" t="s">
        <v>23</v>
      </c>
      <c r="E36" s="1" t="s">
        <v>518</v>
      </c>
      <c r="F36" s="1"/>
      <c r="G36" s="1" t="s">
        <v>33</v>
      </c>
      <c r="H36" s="1" t="s">
        <v>14</v>
      </c>
      <c r="I36" s="1"/>
      <c r="J36" s="1"/>
      <c r="K36" s="1"/>
    </row>
    <row r="37" spans="1:11" s="2" customFormat="1" x14ac:dyDescent="0.25">
      <c r="A37" s="7" t="s">
        <v>500</v>
      </c>
      <c r="C37" s="16">
        <f>ParametersCalculation!$F$32</f>
        <v>1.9826074999999996</v>
      </c>
      <c r="D37" s="2" t="s">
        <v>7</v>
      </c>
      <c r="E37" s="2" t="s">
        <v>16</v>
      </c>
      <c r="F37" s="2" t="s">
        <v>501</v>
      </c>
      <c r="H37" s="2" t="s">
        <v>17</v>
      </c>
      <c r="I37" s="2" t="s">
        <v>171</v>
      </c>
    </row>
    <row r="38" spans="1:11" s="6" customFormat="1" x14ac:dyDescent="0.25">
      <c r="C38" s="11"/>
    </row>
    <row r="39" spans="1:11" s="2" customFormat="1" x14ac:dyDescent="0.25">
      <c r="A39" s="4" t="s">
        <v>1</v>
      </c>
      <c r="B39" s="4" t="s">
        <v>72</v>
      </c>
      <c r="C39" s="7"/>
    </row>
    <row r="40" spans="1:11" s="2" customFormat="1" x14ac:dyDescent="0.25">
      <c r="A40" s="4" t="s">
        <v>2</v>
      </c>
      <c r="B40" s="2" t="s">
        <v>277</v>
      </c>
      <c r="C40" s="7"/>
    </row>
    <row r="41" spans="1:11" s="2" customFormat="1" x14ac:dyDescent="0.25">
      <c r="A41" s="4" t="s">
        <v>3</v>
      </c>
      <c r="B41" s="2" t="s">
        <v>33</v>
      </c>
      <c r="C41" s="7"/>
    </row>
    <row r="42" spans="1:11" s="2" customFormat="1" x14ac:dyDescent="0.25">
      <c r="A42" s="10" t="s">
        <v>10</v>
      </c>
      <c r="B42" s="2" t="s">
        <v>24</v>
      </c>
      <c r="C42" s="7"/>
    </row>
    <row r="43" spans="1:11" s="2" customFormat="1" x14ac:dyDescent="0.25">
      <c r="A43" s="4" t="s">
        <v>4</v>
      </c>
      <c r="B43" s="8">
        <v>1</v>
      </c>
      <c r="C43" s="8"/>
      <c r="D43" s="5"/>
    </row>
    <row r="44" spans="1:11" s="2" customFormat="1" x14ac:dyDescent="0.25">
      <c r="A44" s="4" t="s">
        <v>6</v>
      </c>
      <c r="B44" s="2" t="s">
        <v>23</v>
      </c>
      <c r="C44" s="7"/>
      <c r="D44" s="5"/>
      <c r="K44" s="60"/>
    </row>
    <row r="45" spans="1:11" s="2" customFormat="1" x14ac:dyDescent="0.25">
      <c r="A45" s="4" t="s">
        <v>18</v>
      </c>
      <c r="C45" s="7"/>
      <c r="D45" s="5"/>
    </row>
    <row r="46" spans="1:11" s="2" customFormat="1" x14ac:dyDescent="0.25">
      <c r="A46" s="4" t="s">
        <v>8</v>
      </c>
      <c r="C46" s="7"/>
    </row>
    <row r="47" spans="1:11" s="2" customFormat="1" x14ac:dyDescent="0.25">
      <c r="A47" s="4" t="s">
        <v>9</v>
      </c>
      <c r="B47" s="4" t="s">
        <v>10</v>
      </c>
      <c r="C47" s="9" t="s">
        <v>11</v>
      </c>
      <c r="D47" s="4" t="s">
        <v>6</v>
      </c>
      <c r="E47" s="4" t="s">
        <v>12</v>
      </c>
      <c r="F47" s="4" t="s">
        <v>13</v>
      </c>
      <c r="G47" s="4" t="s">
        <v>3</v>
      </c>
      <c r="H47" s="4" t="s">
        <v>5</v>
      </c>
      <c r="I47" s="4" t="s">
        <v>2</v>
      </c>
    </row>
    <row r="48" spans="1:11" s="2" customFormat="1" x14ac:dyDescent="0.25">
      <c r="A48" s="1" t="s">
        <v>72</v>
      </c>
      <c r="B48" s="1" t="s">
        <v>24</v>
      </c>
      <c r="C48" s="16">
        <v>1</v>
      </c>
      <c r="D48" s="2" t="s">
        <v>23</v>
      </c>
      <c r="E48" s="1" t="s">
        <v>518</v>
      </c>
      <c r="F48" s="1"/>
      <c r="G48" s="1" t="s">
        <v>33</v>
      </c>
      <c r="H48" s="1" t="s">
        <v>14</v>
      </c>
      <c r="I48" s="1"/>
      <c r="J48" s="1"/>
      <c r="K48" s="1"/>
    </row>
    <row r="49" spans="1:11" s="2" customFormat="1" x14ac:dyDescent="0.25">
      <c r="A49" s="1" t="s">
        <v>317</v>
      </c>
      <c r="B49" s="1" t="s">
        <v>318</v>
      </c>
      <c r="C49" s="16">
        <f>ParametersCalculation!$C$24</f>
        <v>25.588456959356876</v>
      </c>
      <c r="D49" s="2" t="s">
        <v>7</v>
      </c>
      <c r="E49" s="1" t="s">
        <v>518</v>
      </c>
      <c r="F49" s="1"/>
      <c r="G49" s="1" t="s">
        <v>33</v>
      </c>
      <c r="H49" s="1" t="s">
        <v>20</v>
      </c>
      <c r="I49" s="1" t="s">
        <v>334</v>
      </c>
      <c r="J49" s="1"/>
      <c r="K49" s="1"/>
    </row>
    <row r="50" spans="1:11" s="2" customFormat="1" x14ac:dyDescent="0.25">
      <c r="A50" s="1" t="s">
        <v>50</v>
      </c>
      <c r="B50" s="1" t="s">
        <v>49</v>
      </c>
      <c r="C50" s="16">
        <f>ParametersCalculation!$C$25</f>
        <v>0.127200801</v>
      </c>
      <c r="D50" s="2" t="s">
        <v>35</v>
      </c>
      <c r="E50" s="1" t="s">
        <v>19</v>
      </c>
      <c r="F50" s="1"/>
      <c r="G50" s="1" t="s">
        <v>33</v>
      </c>
      <c r="H50" s="1" t="s">
        <v>20</v>
      </c>
      <c r="I50" s="1"/>
      <c r="J50" s="1"/>
      <c r="K50" s="1"/>
    </row>
    <row r="51" spans="1:11" s="2" customFormat="1" x14ac:dyDescent="0.25">
      <c r="A51" s="2" t="s">
        <v>71</v>
      </c>
      <c r="B51" s="1" t="s">
        <v>70</v>
      </c>
      <c r="C51" s="7">
        <f>ParametersCalculation!$C$27</f>
        <v>3.5263836979497925E-7</v>
      </c>
      <c r="D51" s="2" t="s">
        <v>6</v>
      </c>
      <c r="E51" s="1" t="s">
        <v>19</v>
      </c>
      <c r="F51" s="1"/>
      <c r="G51" s="1" t="s">
        <v>48</v>
      </c>
      <c r="H51" s="1" t="s">
        <v>20</v>
      </c>
      <c r="I51" s="19"/>
      <c r="J51" s="1"/>
      <c r="K51" s="1"/>
    </row>
    <row r="52" spans="1:11" s="2" customFormat="1" x14ac:dyDescent="0.25">
      <c r="A52" s="1" t="s">
        <v>137</v>
      </c>
      <c r="B52" s="1" t="s">
        <v>138</v>
      </c>
      <c r="C52" s="7">
        <f>ParametersCalculation!$C$28</f>
        <v>1.479295218083755E-6</v>
      </c>
      <c r="D52" s="2" t="s">
        <v>6</v>
      </c>
      <c r="E52" s="1" t="s">
        <v>19</v>
      </c>
      <c r="F52" s="1"/>
      <c r="G52" s="1" t="s">
        <v>15</v>
      </c>
      <c r="H52" s="1" t="s">
        <v>20</v>
      </c>
      <c r="J52" s="1"/>
      <c r="K52" s="1"/>
    </row>
    <row r="53" spans="1:11" s="2" customFormat="1" x14ac:dyDescent="0.25">
      <c r="A53" s="7" t="s">
        <v>500</v>
      </c>
      <c r="C53" s="16">
        <f>ParametersCalculation!$C$32</f>
        <v>2.4445550475000002</v>
      </c>
      <c r="D53" s="2" t="s">
        <v>7</v>
      </c>
      <c r="E53" s="2" t="s">
        <v>16</v>
      </c>
      <c r="F53" s="2" t="s">
        <v>501</v>
      </c>
      <c r="H53" s="2" t="s">
        <v>17</v>
      </c>
      <c r="I53" s="2" t="s">
        <v>252</v>
      </c>
    </row>
    <row r="54" spans="1:11" s="2" customFormat="1" x14ac:dyDescent="0.25">
      <c r="A54" s="1" t="s">
        <v>21</v>
      </c>
      <c r="B54" s="1"/>
      <c r="C54" s="16">
        <f>ParametersCalculation!$C$34+ParametersCalculation!$C$39</f>
        <v>0.52495828741838257</v>
      </c>
      <c r="D54" s="2" t="s">
        <v>7</v>
      </c>
      <c r="E54" s="2" t="s">
        <v>16</v>
      </c>
      <c r="F54" s="1" t="s">
        <v>22</v>
      </c>
      <c r="G54" s="1"/>
      <c r="H54" s="2" t="s">
        <v>17</v>
      </c>
      <c r="I54" s="2" t="s">
        <v>216</v>
      </c>
      <c r="J54" s="1"/>
      <c r="K54" s="1"/>
    </row>
    <row r="55" spans="1:11" s="2" customFormat="1" x14ac:dyDescent="0.25">
      <c r="A55" s="1" t="s">
        <v>32</v>
      </c>
      <c r="B55" s="1"/>
      <c r="C55" s="16">
        <f>ParametersCalculation!$C$35+ParametersCalculation!$C$40</f>
        <v>1.622655950877E-2</v>
      </c>
      <c r="D55" s="2" t="s">
        <v>7</v>
      </c>
      <c r="E55" s="2" t="s">
        <v>16</v>
      </c>
      <c r="F55" s="1" t="s">
        <v>22</v>
      </c>
      <c r="G55" s="1"/>
      <c r="H55" s="2" t="s">
        <v>17</v>
      </c>
      <c r="I55" s="2" t="s">
        <v>216</v>
      </c>
      <c r="J55" s="1"/>
      <c r="K55" s="1"/>
    </row>
    <row r="56" spans="1:11" s="2" customFormat="1" x14ac:dyDescent="0.25">
      <c r="A56" s="1" t="s">
        <v>146</v>
      </c>
      <c r="B56" s="1"/>
      <c r="C56" s="7">
        <f>ParametersCalculation!C41</f>
        <v>2.7043536960000004E-4</v>
      </c>
      <c r="D56" s="2" t="s">
        <v>7</v>
      </c>
      <c r="E56" s="2" t="s">
        <v>16</v>
      </c>
      <c r="F56" s="1" t="s">
        <v>22</v>
      </c>
      <c r="G56" s="1"/>
      <c r="H56" s="2" t="s">
        <v>17</v>
      </c>
      <c r="I56" s="2" t="s">
        <v>330</v>
      </c>
      <c r="J56" s="1"/>
      <c r="K56" s="1"/>
    </row>
    <row r="57" spans="1:11" s="2" customFormat="1" x14ac:dyDescent="0.25">
      <c r="A57" s="1" t="s">
        <v>55</v>
      </c>
      <c r="B57" s="1"/>
      <c r="C57" s="7">
        <f>ParametersCalculation!C42</f>
        <v>1.4084597223000001E-5</v>
      </c>
      <c r="D57" s="2" t="s">
        <v>7</v>
      </c>
      <c r="E57" s="2" t="s">
        <v>16</v>
      </c>
      <c r="F57" s="1" t="s">
        <v>22</v>
      </c>
      <c r="G57" s="1"/>
      <c r="H57" s="2" t="s">
        <v>17</v>
      </c>
      <c r="I57" s="2" t="s">
        <v>330</v>
      </c>
      <c r="J57" s="1"/>
      <c r="K57" s="1"/>
    </row>
    <row r="58" spans="1:11" s="2" customFormat="1" x14ac:dyDescent="0.25">
      <c r="A58" s="1" t="s">
        <v>148</v>
      </c>
      <c r="B58" s="1"/>
      <c r="C58" s="7">
        <f>ParametersCalculation!C43</f>
        <v>8.4506096340000004E-5</v>
      </c>
      <c r="D58" s="2" t="s">
        <v>7</v>
      </c>
      <c r="E58" s="2" t="s">
        <v>16</v>
      </c>
      <c r="F58" s="1" t="s">
        <v>22</v>
      </c>
      <c r="G58" s="1"/>
      <c r="H58" s="2" t="s">
        <v>17</v>
      </c>
      <c r="I58" s="2" t="s">
        <v>330</v>
      </c>
      <c r="J58" s="1"/>
      <c r="K58" s="1"/>
    </row>
    <row r="59" spans="1:11" s="2" customFormat="1" x14ac:dyDescent="0.25">
      <c r="A59" s="1" t="s">
        <v>46</v>
      </c>
      <c r="B59" s="1"/>
      <c r="C59" s="7">
        <f>ParametersCalculation!C44</f>
        <v>1.4084597223000002E-4</v>
      </c>
      <c r="D59" s="2" t="s">
        <v>7</v>
      </c>
      <c r="E59" s="2" t="s">
        <v>16</v>
      </c>
      <c r="F59" s="1" t="s">
        <v>22</v>
      </c>
      <c r="G59" s="1"/>
      <c r="H59" s="2" t="s">
        <v>17</v>
      </c>
      <c r="I59" s="2" t="s">
        <v>330</v>
      </c>
      <c r="J59" s="1"/>
      <c r="K59" s="1"/>
    </row>
    <row r="60" spans="1:11" s="2" customFormat="1" x14ac:dyDescent="0.25">
      <c r="A60" s="1" t="s">
        <v>328</v>
      </c>
      <c r="B60" s="1"/>
      <c r="C60" s="7">
        <f>ParametersCalculation!C45</f>
        <v>1.1267727345000002E-5</v>
      </c>
      <c r="D60" s="2" t="s">
        <v>7</v>
      </c>
      <c r="E60" s="2" t="s">
        <v>16</v>
      </c>
      <c r="F60" s="1" t="s">
        <v>22</v>
      </c>
      <c r="G60" s="1"/>
      <c r="H60" s="2" t="s">
        <v>17</v>
      </c>
      <c r="I60" s="2" t="s">
        <v>330</v>
      </c>
      <c r="J60" s="1"/>
      <c r="K60" s="1"/>
    </row>
    <row r="61" spans="1:11" s="2" customFormat="1" x14ac:dyDescent="0.25">
      <c r="A61" s="1" t="s">
        <v>329</v>
      </c>
      <c r="B61" s="1"/>
      <c r="C61" s="7">
        <f>ParametersCalculation!C46</f>
        <v>3.9437665290000002E-11</v>
      </c>
      <c r="D61" s="2" t="s">
        <v>7</v>
      </c>
      <c r="E61" s="2" t="s">
        <v>16</v>
      </c>
      <c r="F61" s="1" t="s">
        <v>22</v>
      </c>
      <c r="G61" s="1"/>
      <c r="H61" s="2" t="s">
        <v>17</v>
      </c>
      <c r="I61" s="2" t="s">
        <v>330</v>
      </c>
      <c r="J61" s="1"/>
      <c r="K61" s="1"/>
    </row>
    <row r="62" spans="1:11" s="6" customFormat="1" x14ac:dyDescent="0.25">
      <c r="C62" s="11"/>
    </row>
    <row r="63" spans="1:11" x14ac:dyDescent="0.25">
      <c r="A63" s="4" t="s">
        <v>1</v>
      </c>
      <c r="B63" s="4" t="s">
        <v>82</v>
      </c>
      <c r="C63" s="7"/>
      <c r="D63" s="2"/>
      <c r="E63" s="2"/>
      <c r="F63" s="2"/>
      <c r="G63" s="2"/>
      <c r="H63" s="2"/>
      <c r="I63" s="2"/>
      <c r="J63" s="2"/>
    </row>
    <row r="64" spans="1:11" x14ac:dyDescent="0.25">
      <c r="A64" s="4" t="s">
        <v>2</v>
      </c>
      <c r="B64" s="2" t="s">
        <v>122</v>
      </c>
      <c r="C64" s="7"/>
      <c r="D64" s="2"/>
      <c r="E64" s="2"/>
      <c r="F64" s="2"/>
      <c r="G64" s="2"/>
      <c r="H64" s="2"/>
      <c r="I64" s="2"/>
      <c r="J64" s="2"/>
    </row>
    <row r="65" spans="1:11" x14ac:dyDescent="0.25">
      <c r="A65" s="4" t="s">
        <v>3</v>
      </c>
      <c r="B65" s="2" t="s">
        <v>33</v>
      </c>
      <c r="C65" s="7"/>
      <c r="D65" s="2"/>
      <c r="E65" s="2"/>
      <c r="F65" s="2"/>
      <c r="G65" s="2"/>
      <c r="H65" s="2"/>
      <c r="I65" s="2"/>
      <c r="J65" s="2"/>
    </row>
    <row r="66" spans="1:11" x14ac:dyDescent="0.25">
      <c r="A66" s="10" t="s">
        <v>10</v>
      </c>
      <c r="B66" s="2" t="s">
        <v>24</v>
      </c>
      <c r="D66" s="2"/>
      <c r="E66" s="2"/>
      <c r="F66" s="2"/>
      <c r="G66" s="2"/>
      <c r="H66" s="2"/>
      <c r="I66" s="2"/>
      <c r="J66" s="2"/>
    </row>
    <row r="67" spans="1:11" x14ac:dyDescent="0.25">
      <c r="A67" s="4" t="s">
        <v>4</v>
      </c>
      <c r="B67" s="8">
        <v>1</v>
      </c>
      <c r="C67" s="7"/>
      <c r="D67" s="2"/>
      <c r="E67" s="2"/>
      <c r="F67" s="2"/>
      <c r="G67" s="2"/>
      <c r="H67" s="2"/>
      <c r="I67" s="2"/>
      <c r="J67" s="2"/>
    </row>
    <row r="68" spans="1:11" x14ac:dyDescent="0.25">
      <c r="A68" s="4" t="s">
        <v>6</v>
      </c>
      <c r="B68" s="2" t="s">
        <v>23</v>
      </c>
      <c r="C68" s="7"/>
      <c r="D68" s="2"/>
      <c r="E68" s="2"/>
      <c r="F68" s="2"/>
      <c r="G68" s="2"/>
      <c r="H68" s="2"/>
      <c r="I68" s="2"/>
      <c r="J68" s="2"/>
    </row>
    <row r="69" spans="1:11" x14ac:dyDescent="0.25">
      <c r="A69" s="4" t="s">
        <v>18</v>
      </c>
      <c r="B69" s="2"/>
      <c r="C69" s="7"/>
      <c r="D69" s="5"/>
      <c r="E69" s="2"/>
      <c r="F69" s="2"/>
      <c r="G69" s="2"/>
      <c r="H69" s="2"/>
      <c r="I69" s="2"/>
      <c r="J69" s="2"/>
    </row>
    <row r="70" spans="1:11" x14ac:dyDescent="0.25">
      <c r="A70" s="4" t="s">
        <v>8</v>
      </c>
      <c r="B70" s="2"/>
      <c r="C70" s="7"/>
      <c r="D70" s="2"/>
      <c r="E70" s="2"/>
      <c r="F70" s="2"/>
      <c r="G70" s="2"/>
      <c r="H70" s="2"/>
      <c r="I70" s="2"/>
      <c r="J70" s="2"/>
    </row>
    <row r="71" spans="1:11" x14ac:dyDescent="0.25">
      <c r="A71" s="4" t="s">
        <v>9</v>
      </c>
      <c r="B71" s="4" t="s">
        <v>10</v>
      </c>
      <c r="C71" s="9" t="s">
        <v>11</v>
      </c>
      <c r="D71" s="4" t="s">
        <v>6</v>
      </c>
      <c r="E71" s="4" t="s">
        <v>12</v>
      </c>
      <c r="F71" s="4" t="s">
        <v>13</v>
      </c>
      <c r="G71" s="4" t="s">
        <v>3</v>
      </c>
      <c r="H71" s="4" t="s">
        <v>5</v>
      </c>
      <c r="I71" s="4" t="s">
        <v>2</v>
      </c>
      <c r="J71" s="2"/>
    </row>
    <row r="72" spans="1:11" x14ac:dyDescent="0.25">
      <c r="A72" s="1" t="s">
        <v>82</v>
      </c>
      <c r="B72" s="1" t="s">
        <v>24</v>
      </c>
      <c r="C72" s="16">
        <v>1</v>
      </c>
      <c r="D72" s="2" t="s">
        <v>23</v>
      </c>
      <c r="E72" s="1" t="s">
        <v>518</v>
      </c>
      <c r="F72" s="1"/>
      <c r="G72" s="1" t="s">
        <v>33</v>
      </c>
      <c r="H72" s="1" t="s">
        <v>14</v>
      </c>
      <c r="I72" s="1"/>
      <c r="J72" s="1"/>
    </row>
    <row r="73" spans="1:11" x14ac:dyDescent="0.25">
      <c r="A73" s="1" t="s">
        <v>104</v>
      </c>
      <c r="B73" s="1" t="s">
        <v>83</v>
      </c>
      <c r="C73" s="16">
        <f>ParametersCalculation!$B$24</f>
        <v>3.7587555322152353</v>
      </c>
      <c r="D73" s="2" t="s">
        <v>7</v>
      </c>
      <c r="E73" s="1" t="s">
        <v>518</v>
      </c>
      <c r="F73" s="1"/>
      <c r="G73" s="1" t="s">
        <v>33</v>
      </c>
      <c r="H73" s="1" t="s">
        <v>20</v>
      </c>
      <c r="I73" s="1" t="s">
        <v>275</v>
      </c>
      <c r="J73" s="1"/>
    </row>
    <row r="74" spans="1:11" s="2" customFormat="1" x14ac:dyDescent="0.25">
      <c r="A74" s="1" t="s">
        <v>50</v>
      </c>
      <c r="B74" s="1" t="s">
        <v>49</v>
      </c>
      <c r="C74" s="16">
        <f>ParametersCalculation!$B$25</f>
        <v>0.17123184749999998</v>
      </c>
      <c r="D74" s="2" t="s">
        <v>35</v>
      </c>
      <c r="E74" s="1" t="s">
        <v>19</v>
      </c>
      <c r="F74" s="1"/>
      <c r="G74" s="1" t="s">
        <v>33</v>
      </c>
      <c r="H74" s="1" t="s">
        <v>20</v>
      </c>
      <c r="I74" s="1"/>
      <c r="J74" s="1"/>
      <c r="K74" s="1"/>
    </row>
    <row r="75" spans="1:11" s="2" customFormat="1" x14ac:dyDescent="0.25">
      <c r="A75" s="2" t="s">
        <v>71</v>
      </c>
      <c r="B75" s="1" t="s">
        <v>70</v>
      </c>
      <c r="C75" s="7">
        <f>ParametersCalculation!$B$27</f>
        <v>3.5263836979497925E-7</v>
      </c>
      <c r="D75" s="2" t="s">
        <v>6</v>
      </c>
      <c r="E75" s="1" t="s">
        <v>19</v>
      </c>
      <c r="F75" s="1"/>
      <c r="G75" s="1" t="s">
        <v>48</v>
      </c>
      <c r="H75" s="1" t="s">
        <v>20</v>
      </c>
      <c r="I75" s="19"/>
      <c r="J75" s="1"/>
      <c r="K75" s="1"/>
    </row>
    <row r="76" spans="1:11" s="2" customFormat="1" x14ac:dyDescent="0.25">
      <c r="A76" s="1" t="s">
        <v>137</v>
      </c>
      <c r="B76" s="1" t="s">
        <v>138</v>
      </c>
      <c r="C76" s="7">
        <f>ParametersCalculation!$B$28</f>
        <v>1.479295218083755E-6</v>
      </c>
      <c r="D76" s="2" t="s">
        <v>6</v>
      </c>
      <c r="E76" s="1" t="s">
        <v>19</v>
      </c>
      <c r="F76" s="1"/>
      <c r="G76" s="1" t="s">
        <v>15</v>
      </c>
      <c r="H76" s="1" t="s">
        <v>20</v>
      </c>
      <c r="I76" s="1" t="s">
        <v>254</v>
      </c>
      <c r="J76" s="1"/>
      <c r="K76" s="1"/>
    </row>
    <row r="77" spans="1:11" s="2" customFormat="1" x14ac:dyDescent="0.25">
      <c r="A77" s="7" t="s">
        <v>500</v>
      </c>
      <c r="C77" s="16">
        <f>ParametersCalculation!$B$32</f>
        <v>2.4445550475000002</v>
      </c>
      <c r="D77" s="2" t="s">
        <v>7</v>
      </c>
      <c r="E77" s="2" t="s">
        <v>16</v>
      </c>
      <c r="F77" s="2" t="s">
        <v>501</v>
      </c>
      <c r="H77" s="2" t="s">
        <v>17</v>
      </c>
      <c r="I77" s="2" t="s">
        <v>252</v>
      </c>
    </row>
    <row r="78" spans="1:11" s="2" customFormat="1" x14ac:dyDescent="0.25">
      <c r="A78" s="1" t="s">
        <v>21</v>
      </c>
      <c r="B78" s="1"/>
      <c r="C78" s="16">
        <f>ParametersCalculation!$B$34+ParametersCalculation!$B$39</f>
        <v>0.52495828741838257</v>
      </c>
      <c r="D78" s="2" t="s">
        <v>7</v>
      </c>
      <c r="E78" s="2" t="s">
        <v>16</v>
      </c>
      <c r="F78" s="1" t="s">
        <v>22</v>
      </c>
      <c r="G78" s="1"/>
      <c r="H78" s="2" t="s">
        <v>17</v>
      </c>
      <c r="I78" s="2" t="s">
        <v>216</v>
      </c>
      <c r="J78" s="1"/>
      <c r="K78" s="1"/>
    </row>
    <row r="79" spans="1:11" s="2" customFormat="1" x14ac:dyDescent="0.25">
      <c r="A79" s="1" t="s">
        <v>32</v>
      </c>
      <c r="B79" s="1"/>
      <c r="C79" s="16">
        <f>ParametersCalculation!$B$35+ParametersCalculation!$B$40</f>
        <v>1.622655950877E-2</v>
      </c>
      <c r="D79" s="2" t="s">
        <v>7</v>
      </c>
      <c r="E79" s="2" t="s">
        <v>16</v>
      </c>
      <c r="F79" s="1" t="s">
        <v>22</v>
      </c>
      <c r="G79" s="1"/>
      <c r="H79" s="2" t="s">
        <v>17</v>
      </c>
      <c r="I79" s="2" t="s">
        <v>216</v>
      </c>
      <c r="J79" s="1"/>
      <c r="K79" s="1"/>
    </row>
    <row r="80" spans="1:11" s="2" customFormat="1" x14ac:dyDescent="0.25">
      <c r="A80" s="1" t="s">
        <v>146</v>
      </c>
      <c r="B80" s="1"/>
      <c r="C80" s="7">
        <f>ParametersCalculation!B41</f>
        <v>2.7043536960000004E-4</v>
      </c>
      <c r="D80" s="2" t="s">
        <v>7</v>
      </c>
      <c r="E80" s="2" t="s">
        <v>16</v>
      </c>
      <c r="F80" s="1" t="s">
        <v>22</v>
      </c>
      <c r="G80" s="1"/>
      <c r="H80" s="2" t="s">
        <v>17</v>
      </c>
      <c r="I80" s="2" t="s">
        <v>330</v>
      </c>
      <c r="J80" s="1"/>
      <c r="K80" s="1"/>
    </row>
    <row r="81" spans="1:11" s="2" customFormat="1" x14ac:dyDescent="0.25">
      <c r="A81" s="1" t="s">
        <v>55</v>
      </c>
      <c r="B81" s="1"/>
      <c r="C81" s="7">
        <f>ParametersCalculation!B42</f>
        <v>1.4084597223000001E-5</v>
      </c>
      <c r="D81" s="2" t="s">
        <v>7</v>
      </c>
      <c r="E81" s="2" t="s">
        <v>16</v>
      </c>
      <c r="F81" s="1" t="s">
        <v>22</v>
      </c>
      <c r="G81" s="1"/>
      <c r="H81" s="2" t="s">
        <v>17</v>
      </c>
      <c r="I81" s="2" t="s">
        <v>330</v>
      </c>
      <c r="J81" s="1"/>
      <c r="K81" s="1"/>
    </row>
    <row r="82" spans="1:11" s="2" customFormat="1" x14ac:dyDescent="0.25">
      <c r="A82" s="1" t="s">
        <v>148</v>
      </c>
      <c r="B82" s="1"/>
      <c r="C82" s="7">
        <f>ParametersCalculation!B43</f>
        <v>8.4506096340000004E-5</v>
      </c>
      <c r="D82" s="2" t="s">
        <v>7</v>
      </c>
      <c r="E82" s="2" t="s">
        <v>16</v>
      </c>
      <c r="F82" s="1" t="s">
        <v>22</v>
      </c>
      <c r="G82" s="1"/>
      <c r="H82" s="2" t="s">
        <v>17</v>
      </c>
      <c r="I82" s="2" t="s">
        <v>330</v>
      </c>
      <c r="J82" s="1"/>
      <c r="K82" s="1"/>
    </row>
    <row r="83" spans="1:11" s="2" customFormat="1" x14ac:dyDescent="0.25">
      <c r="A83" s="1" t="s">
        <v>46</v>
      </c>
      <c r="B83" s="1"/>
      <c r="C83" s="7">
        <f>ParametersCalculation!B44</f>
        <v>1.4084597223000002E-4</v>
      </c>
      <c r="D83" s="2" t="s">
        <v>7</v>
      </c>
      <c r="E83" s="2" t="s">
        <v>16</v>
      </c>
      <c r="F83" s="1" t="s">
        <v>22</v>
      </c>
      <c r="G83" s="1"/>
      <c r="H83" s="2" t="s">
        <v>17</v>
      </c>
      <c r="I83" s="2" t="s">
        <v>330</v>
      </c>
      <c r="J83" s="1"/>
      <c r="K83" s="1"/>
    </row>
    <row r="84" spans="1:11" s="2" customFormat="1" x14ac:dyDescent="0.25">
      <c r="A84" s="1" t="s">
        <v>328</v>
      </c>
      <c r="B84" s="1"/>
      <c r="C84" s="7">
        <f>ParametersCalculation!B45</f>
        <v>1.1267727345000002E-5</v>
      </c>
      <c r="D84" s="2" t="s">
        <v>7</v>
      </c>
      <c r="E84" s="2" t="s">
        <v>16</v>
      </c>
      <c r="F84" s="1" t="s">
        <v>22</v>
      </c>
      <c r="G84" s="1"/>
      <c r="H84" s="2" t="s">
        <v>17</v>
      </c>
      <c r="I84" s="2" t="s">
        <v>330</v>
      </c>
      <c r="J84" s="1"/>
      <c r="K84" s="1"/>
    </row>
    <row r="85" spans="1:11" s="2" customFormat="1" x14ac:dyDescent="0.25">
      <c r="A85" s="1" t="s">
        <v>329</v>
      </c>
      <c r="B85" s="1"/>
      <c r="C85" s="7">
        <f>ParametersCalculation!B46</f>
        <v>3.9437665290000002E-11</v>
      </c>
      <c r="D85" s="2" t="s">
        <v>7</v>
      </c>
      <c r="E85" s="2" t="s">
        <v>16</v>
      </c>
      <c r="F85" s="1" t="s">
        <v>22</v>
      </c>
      <c r="G85" s="1"/>
      <c r="H85" s="2" t="s">
        <v>17</v>
      </c>
      <c r="I85" s="2" t="s">
        <v>330</v>
      </c>
      <c r="J85" s="1"/>
      <c r="K85" s="1"/>
    </row>
    <row r="86" spans="1:11" s="6" customFormat="1" x14ac:dyDescent="0.25">
      <c r="C86" s="11"/>
    </row>
    <row r="87" spans="1:11" s="2" customFormat="1" x14ac:dyDescent="0.25">
      <c r="A87" s="4" t="s">
        <v>1</v>
      </c>
      <c r="B87" s="4" t="s">
        <v>77</v>
      </c>
      <c r="C87" s="7"/>
    </row>
    <row r="88" spans="1:11" s="2" customFormat="1" x14ac:dyDescent="0.25">
      <c r="A88" s="4" t="s">
        <v>2</v>
      </c>
      <c r="B88" s="2" t="s">
        <v>276</v>
      </c>
      <c r="C88" s="7"/>
    </row>
    <row r="89" spans="1:11" s="2" customFormat="1" x14ac:dyDescent="0.25">
      <c r="A89" s="4" t="s">
        <v>3</v>
      </c>
      <c r="B89" s="2" t="s">
        <v>33</v>
      </c>
      <c r="C89" s="7"/>
    </row>
    <row r="90" spans="1:11" s="2" customFormat="1" x14ac:dyDescent="0.25">
      <c r="A90" s="10" t="s">
        <v>10</v>
      </c>
      <c r="B90" s="2" t="s">
        <v>24</v>
      </c>
      <c r="C90" s="7"/>
    </row>
    <row r="91" spans="1:11" s="2" customFormat="1" x14ac:dyDescent="0.25">
      <c r="A91" s="4" t="s">
        <v>4</v>
      </c>
      <c r="B91" s="8">
        <v>1</v>
      </c>
      <c r="C91" s="7"/>
      <c r="D91" s="5"/>
    </row>
    <row r="92" spans="1:11" s="2" customFormat="1" x14ac:dyDescent="0.25">
      <c r="A92" s="4" t="s">
        <v>6</v>
      </c>
      <c r="B92" s="2" t="s">
        <v>23</v>
      </c>
      <c r="C92" s="7"/>
      <c r="D92" s="5"/>
    </row>
    <row r="93" spans="1:11" s="2" customFormat="1" x14ac:dyDescent="0.25">
      <c r="A93" s="4" t="s">
        <v>18</v>
      </c>
      <c r="C93" s="7"/>
      <c r="D93" s="5"/>
    </row>
    <row r="94" spans="1:11" s="2" customFormat="1" x14ac:dyDescent="0.25">
      <c r="A94" s="4" t="s">
        <v>8</v>
      </c>
      <c r="C94" s="7"/>
    </row>
    <row r="95" spans="1:11" s="2" customFormat="1" x14ac:dyDescent="0.25">
      <c r="A95" s="4" t="s">
        <v>9</v>
      </c>
      <c r="B95" s="4" t="s">
        <v>10</v>
      </c>
      <c r="C95" s="9" t="s">
        <v>11</v>
      </c>
      <c r="D95" s="4" t="s">
        <v>6</v>
      </c>
      <c r="E95" s="4" t="s">
        <v>12</v>
      </c>
      <c r="F95" s="4" t="s">
        <v>13</v>
      </c>
      <c r="G95" s="4" t="s">
        <v>3</v>
      </c>
      <c r="H95" s="4" t="s">
        <v>5</v>
      </c>
      <c r="I95" s="4" t="s">
        <v>2</v>
      </c>
    </row>
    <row r="96" spans="1:11" s="2" customFormat="1" x14ac:dyDescent="0.25">
      <c r="A96" s="1" t="s">
        <v>77</v>
      </c>
      <c r="B96" s="1" t="s">
        <v>24</v>
      </c>
      <c r="C96" s="16">
        <v>1</v>
      </c>
      <c r="D96" s="2" t="s">
        <v>23</v>
      </c>
      <c r="E96" s="1" t="s">
        <v>518</v>
      </c>
      <c r="F96" s="1"/>
      <c r="G96" s="1" t="s">
        <v>33</v>
      </c>
      <c r="H96" s="1" t="s">
        <v>14</v>
      </c>
      <c r="I96" s="1"/>
      <c r="J96" s="1"/>
      <c r="K96" s="1"/>
    </row>
    <row r="97" spans="1:11" s="2" customFormat="1" x14ac:dyDescent="0.25">
      <c r="A97" s="2" t="s">
        <v>258</v>
      </c>
      <c r="B97" s="2" t="s">
        <v>259</v>
      </c>
      <c r="C97" s="16">
        <f>ParametersCalculation!$G$24</f>
        <v>9.7488397270274927</v>
      </c>
      <c r="D97" s="2" t="s">
        <v>7</v>
      </c>
      <c r="E97" s="1" t="s">
        <v>518</v>
      </c>
      <c r="G97" s="1" t="s">
        <v>33</v>
      </c>
      <c r="H97" s="2" t="s">
        <v>20</v>
      </c>
      <c r="I97" s="1" t="s">
        <v>275</v>
      </c>
    </row>
    <row r="98" spans="1:11" s="2" customFormat="1" x14ac:dyDescent="0.25">
      <c r="A98" s="1" t="s">
        <v>50</v>
      </c>
      <c r="B98" s="1" t="s">
        <v>49</v>
      </c>
      <c r="C98" s="16">
        <f>ParametersCalculation!$G$25</f>
        <v>0.17123184749999998</v>
      </c>
      <c r="D98" s="2" t="s">
        <v>35</v>
      </c>
      <c r="E98" s="1" t="s">
        <v>19</v>
      </c>
      <c r="F98" s="1"/>
      <c r="G98" s="1" t="s">
        <v>33</v>
      </c>
      <c r="H98" s="1" t="s">
        <v>20</v>
      </c>
      <c r="I98" s="1"/>
      <c r="J98" s="1"/>
      <c r="K98" s="1"/>
    </row>
    <row r="99" spans="1:11" s="2" customFormat="1" x14ac:dyDescent="0.25">
      <c r="A99" s="2" t="s">
        <v>71</v>
      </c>
      <c r="B99" s="1" t="s">
        <v>70</v>
      </c>
      <c r="C99" s="7">
        <f>ParametersCalculation!$G$27</f>
        <v>3.5263836979497925E-7</v>
      </c>
      <c r="D99" s="2" t="s">
        <v>6</v>
      </c>
      <c r="E99" s="1" t="s">
        <v>19</v>
      </c>
      <c r="F99" s="1"/>
      <c r="G99" s="1" t="s">
        <v>48</v>
      </c>
      <c r="H99" s="1" t="s">
        <v>20</v>
      </c>
      <c r="I99" s="19"/>
      <c r="J99" s="1"/>
      <c r="K99" s="1"/>
    </row>
    <row r="100" spans="1:11" s="2" customFormat="1" x14ac:dyDescent="0.25">
      <c r="A100" s="1" t="s">
        <v>137</v>
      </c>
      <c r="B100" s="1" t="s">
        <v>138</v>
      </c>
      <c r="C100" s="7">
        <f>ParametersCalculation!$G$28</f>
        <v>1.479295218083755E-6</v>
      </c>
      <c r="D100" s="2" t="s">
        <v>6</v>
      </c>
      <c r="E100" s="1" t="s">
        <v>19</v>
      </c>
      <c r="F100" s="1"/>
      <c r="G100" s="1" t="s">
        <v>15</v>
      </c>
      <c r="H100" s="1" t="s">
        <v>20</v>
      </c>
      <c r="I100" s="1" t="s">
        <v>254</v>
      </c>
      <c r="J100" s="1"/>
      <c r="K100" s="1"/>
    </row>
    <row r="101" spans="1:11" x14ac:dyDescent="0.25">
      <c r="A101" s="7" t="s">
        <v>500</v>
      </c>
      <c r="B101" s="2"/>
      <c r="C101" s="16">
        <f>ParametersCalculation!$G$32</f>
        <v>2.4445550475000002</v>
      </c>
      <c r="D101" s="2" t="s">
        <v>7</v>
      </c>
      <c r="E101" s="2" t="s">
        <v>16</v>
      </c>
      <c r="F101" s="2" t="s">
        <v>501</v>
      </c>
      <c r="G101" s="2"/>
      <c r="H101" s="2" t="s">
        <v>17</v>
      </c>
      <c r="I101" s="2" t="s">
        <v>252</v>
      </c>
    </row>
    <row r="102" spans="1:11" x14ac:dyDescent="0.25">
      <c r="A102" s="1" t="s">
        <v>21</v>
      </c>
      <c r="B102" s="87"/>
      <c r="C102" s="16">
        <f>ParametersCalculation!$G$34+ParametersCalculation!$G$39</f>
        <v>0.52495828741838257</v>
      </c>
      <c r="D102" s="2" t="s">
        <v>7</v>
      </c>
      <c r="E102" s="2" t="s">
        <v>16</v>
      </c>
      <c r="F102" s="1" t="s">
        <v>22</v>
      </c>
      <c r="G102" s="1"/>
      <c r="H102" s="2" t="s">
        <v>17</v>
      </c>
      <c r="I102" s="2" t="s">
        <v>216</v>
      </c>
    </row>
    <row r="103" spans="1:11" x14ac:dyDescent="0.25">
      <c r="A103" s="1" t="s">
        <v>32</v>
      </c>
      <c r="B103" s="1"/>
      <c r="C103" s="16">
        <f>ParametersCalculation!$G$35+ParametersCalculation!$G$40</f>
        <v>1.622655950877E-2</v>
      </c>
      <c r="D103" s="2" t="s">
        <v>7</v>
      </c>
      <c r="E103" s="2" t="s">
        <v>16</v>
      </c>
      <c r="F103" s="1" t="s">
        <v>22</v>
      </c>
      <c r="G103" s="1"/>
      <c r="H103" s="2" t="s">
        <v>17</v>
      </c>
      <c r="I103" s="2" t="s">
        <v>216</v>
      </c>
    </row>
    <row r="104" spans="1:11" s="2" customFormat="1" x14ac:dyDescent="0.25">
      <c r="A104" s="1" t="s">
        <v>146</v>
      </c>
      <c r="B104" s="1"/>
      <c r="C104" s="7">
        <f>ParametersCalculation!G41</f>
        <v>2.7043536960000004E-4</v>
      </c>
      <c r="D104" s="2" t="s">
        <v>7</v>
      </c>
      <c r="E104" s="2" t="s">
        <v>16</v>
      </c>
      <c r="F104" s="1" t="s">
        <v>22</v>
      </c>
      <c r="G104" s="1"/>
      <c r="H104" s="2" t="s">
        <v>17</v>
      </c>
      <c r="I104" s="2" t="s">
        <v>330</v>
      </c>
      <c r="J104" s="1"/>
      <c r="K104" s="1"/>
    </row>
    <row r="105" spans="1:11" s="2" customFormat="1" x14ac:dyDescent="0.25">
      <c r="A105" s="1" t="s">
        <v>55</v>
      </c>
      <c r="B105" s="1"/>
      <c r="C105" s="7">
        <f>ParametersCalculation!G42</f>
        <v>1.4084597223000001E-5</v>
      </c>
      <c r="D105" s="2" t="s">
        <v>7</v>
      </c>
      <c r="E105" s="2" t="s">
        <v>16</v>
      </c>
      <c r="F105" s="1" t="s">
        <v>22</v>
      </c>
      <c r="G105" s="1"/>
      <c r="H105" s="2" t="s">
        <v>17</v>
      </c>
      <c r="I105" s="2" t="s">
        <v>330</v>
      </c>
      <c r="J105" s="1"/>
      <c r="K105" s="1"/>
    </row>
    <row r="106" spans="1:11" s="2" customFormat="1" x14ac:dyDescent="0.25">
      <c r="A106" s="1" t="s">
        <v>148</v>
      </c>
      <c r="B106" s="1"/>
      <c r="C106" s="7">
        <f>ParametersCalculation!G43</f>
        <v>8.4506096340000004E-5</v>
      </c>
      <c r="D106" s="2" t="s">
        <v>7</v>
      </c>
      <c r="E106" s="2" t="s">
        <v>16</v>
      </c>
      <c r="F106" s="1" t="s">
        <v>22</v>
      </c>
      <c r="G106" s="1"/>
      <c r="H106" s="2" t="s">
        <v>17</v>
      </c>
      <c r="I106" s="2" t="s">
        <v>330</v>
      </c>
      <c r="J106" s="1"/>
      <c r="K106" s="1"/>
    </row>
    <row r="107" spans="1:11" s="2" customFormat="1" x14ac:dyDescent="0.25">
      <c r="A107" s="1" t="s">
        <v>46</v>
      </c>
      <c r="B107" s="1"/>
      <c r="C107" s="7">
        <f>ParametersCalculation!G44</f>
        <v>1.4084597223000002E-4</v>
      </c>
      <c r="D107" s="2" t="s">
        <v>7</v>
      </c>
      <c r="E107" s="2" t="s">
        <v>16</v>
      </c>
      <c r="F107" s="1" t="s">
        <v>22</v>
      </c>
      <c r="G107" s="1"/>
      <c r="H107" s="2" t="s">
        <v>17</v>
      </c>
      <c r="I107" s="2" t="s">
        <v>330</v>
      </c>
      <c r="J107" s="1"/>
      <c r="K107" s="1"/>
    </row>
    <row r="108" spans="1:11" s="2" customFormat="1" x14ac:dyDescent="0.25">
      <c r="A108" s="1" t="s">
        <v>328</v>
      </c>
      <c r="B108" s="1"/>
      <c r="C108" s="7">
        <f>ParametersCalculation!G45</f>
        <v>1.1267727345000002E-5</v>
      </c>
      <c r="D108" s="2" t="s">
        <v>7</v>
      </c>
      <c r="E108" s="2" t="s">
        <v>16</v>
      </c>
      <c r="F108" s="1" t="s">
        <v>22</v>
      </c>
      <c r="G108" s="1"/>
      <c r="H108" s="2" t="s">
        <v>17</v>
      </c>
      <c r="I108" s="2" t="s">
        <v>330</v>
      </c>
      <c r="J108" s="1"/>
      <c r="K108" s="1"/>
    </row>
    <row r="109" spans="1:11" s="2" customFormat="1" x14ac:dyDescent="0.25">
      <c r="A109" s="1" t="s">
        <v>329</v>
      </c>
      <c r="B109" s="1"/>
      <c r="C109" s="7">
        <f>ParametersCalculation!G46</f>
        <v>3.9437665290000002E-11</v>
      </c>
      <c r="D109" s="2" t="s">
        <v>7</v>
      </c>
      <c r="E109" s="2" t="s">
        <v>16</v>
      </c>
      <c r="F109" s="1" t="s">
        <v>22</v>
      </c>
      <c r="G109" s="1"/>
      <c r="H109" s="2" t="s">
        <v>17</v>
      </c>
      <c r="I109" s="2" t="s">
        <v>330</v>
      </c>
      <c r="J109" s="1"/>
      <c r="K109" s="1"/>
    </row>
    <row r="110" spans="1:11" s="6" customFormat="1" x14ac:dyDescent="0.25">
      <c r="C110" s="11"/>
    </row>
    <row r="111" spans="1:11" s="2" customFormat="1" x14ac:dyDescent="0.25">
      <c r="A111" s="4" t="s">
        <v>1</v>
      </c>
      <c r="B111" s="4" t="s">
        <v>357</v>
      </c>
      <c r="C111" s="7"/>
    </row>
    <row r="112" spans="1:11" s="2" customFormat="1" x14ac:dyDescent="0.25">
      <c r="A112" s="4" t="s">
        <v>2</v>
      </c>
      <c r="B112" s="2" t="s">
        <v>358</v>
      </c>
      <c r="C112" s="7"/>
    </row>
    <row r="113" spans="1:11" s="2" customFormat="1" x14ac:dyDescent="0.25">
      <c r="A113" s="4" t="s">
        <v>3</v>
      </c>
      <c r="B113" s="2" t="s">
        <v>33</v>
      </c>
      <c r="C113" s="7"/>
    </row>
    <row r="114" spans="1:11" s="2" customFormat="1" x14ac:dyDescent="0.25">
      <c r="A114" s="10" t="s">
        <v>10</v>
      </c>
      <c r="B114" s="2" t="s">
        <v>24</v>
      </c>
      <c r="C114" s="7"/>
    </row>
    <row r="115" spans="1:11" s="2" customFormat="1" x14ac:dyDescent="0.25">
      <c r="A115" s="4" t="s">
        <v>4</v>
      </c>
      <c r="B115" s="8">
        <v>1</v>
      </c>
      <c r="C115" s="7"/>
      <c r="D115" s="5"/>
    </row>
    <row r="116" spans="1:11" s="2" customFormat="1" x14ac:dyDescent="0.25">
      <c r="A116" s="4" t="s">
        <v>6</v>
      </c>
      <c r="B116" s="2" t="s">
        <v>23</v>
      </c>
      <c r="C116" s="7"/>
      <c r="D116" s="5"/>
    </row>
    <row r="117" spans="1:11" s="2" customFormat="1" x14ac:dyDescent="0.25">
      <c r="A117" s="4" t="s">
        <v>18</v>
      </c>
      <c r="C117" s="7"/>
      <c r="D117" s="5"/>
    </row>
    <row r="118" spans="1:11" s="2" customFormat="1" x14ac:dyDescent="0.25">
      <c r="A118" s="4" t="s">
        <v>8</v>
      </c>
      <c r="C118" s="7"/>
    </row>
    <row r="119" spans="1:11" s="2" customFormat="1" x14ac:dyDescent="0.25">
      <c r="A119" s="4" t="s">
        <v>9</v>
      </c>
      <c r="B119" s="4" t="s">
        <v>10</v>
      </c>
      <c r="C119" s="9" t="s">
        <v>11</v>
      </c>
      <c r="D119" s="4" t="s">
        <v>6</v>
      </c>
      <c r="E119" s="4" t="s">
        <v>12</v>
      </c>
      <c r="F119" s="4" t="s">
        <v>13</v>
      </c>
      <c r="G119" s="4" t="s">
        <v>3</v>
      </c>
      <c r="H119" s="4" t="s">
        <v>5</v>
      </c>
      <c r="I119" s="4" t="s">
        <v>2</v>
      </c>
    </row>
    <row r="120" spans="1:11" s="2" customFormat="1" x14ac:dyDescent="0.25">
      <c r="A120" s="1" t="s">
        <v>357</v>
      </c>
      <c r="B120" s="1" t="s">
        <v>24</v>
      </c>
      <c r="C120" s="16">
        <v>1</v>
      </c>
      <c r="D120" s="2" t="s">
        <v>23</v>
      </c>
      <c r="E120" s="1" t="s">
        <v>518</v>
      </c>
      <c r="F120" s="1"/>
      <c r="G120" s="1" t="s">
        <v>33</v>
      </c>
      <c r="H120" s="1" t="s">
        <v>14</v>
      </c>
      <c r="I120" s="1"/>
      <c r="J120" s="1"/>
      <c r="K120" s="1"/>
    </row>
    <row r="121" spans="1:11" s="2" customFormat="1" x14ac:dyDescent="0.25">
      <c r="A121" s="1" t="s">
        <v>27</v>
      </c>
      <c r="B121" s="1" t="s">
        <v>24</v>
      </c>
      <c r="C121" s="16">
        <f>ParametersCalculation!D48</f>
        <v>5.3763440860215055E-2</v>
      </c>
      <c r="D121" s="2" t="s">
        <v>23</v>
      </c>
      <c r="E121" s="1" t="s">
        <v>518</v>
      </c>
      <c r="F121" s="1"/>
      <c r="G121" s="1" t="s">
        <v>33</v>
      </c>
      <c r="H121" s="1" t="s">
        <v>20</v>
      </c>
      <c r="I121" s="1"/>
      <c r="J121" s="1"/>
      <c r="K121" s="1"/>
    </row>
    <row r="122" spans="1:11" x14ac:dyDescent="0.25">
      <c r="A122" s="1" t="s">
        <v>80</v>
      </c>
      <c r="B122" s="1" t="s">
        <v>24</v>
      </c>
      <c r="C122" s="16">
        <f>ParametersCalculation!E48</f>
        <v>9.6774193548387094E-2</v>
      </c>
      <c r="D122" s="2" t="s">
        <v>23</v>
      </c>
      <c r="E122" s="1" t="s">
        <v>518</v>
      </c>
      <c r="F122" s="1"/>
      <c r="G122" s="1" t="s">
        <v>33</v>
      </c>
      <c r="H122" s="1" t="s">
        <v>20</v>
      </c>
      <c r="I122" s="19"/>
    </row>
    <row r="123" spans="1:11" x14ac:dyDescent="0.25">
      <c r="A123" s="1" t="s">
        <v>66</v>
      </c>
      <c r="B123" s="1" t="s">
        <v>24</v>
      </c>
      <c r="C123" s="16">
        <f>ParametersCalculation!F48</f>
        <v>2.1505376344086023E-2</v>
      </c>
      <c r="D123" s="2" t="s">
        <v>23</v>
      </c>
      <c r="E123" s="1" t="s">
        <v>518</v>
      </c>
      <c r="F123" s="1"/>
      <c r="G123" s="1" t="s">
        <v>33</v>
      </c>
      <c r="H123" s="1" t="s">
        <v>20</v>
      </c>
      <c r="I123" s="19"/>
    </row>
    <row r="124" spans="1:11" x14ac:dyDescent="0.25">
      <c r="A124" s="1" t="s">
        <v>72</v>
      </c>
      <c r="B124" s="1" t="s">
        <v>24</v>
      </c>
      <c r="C124" s="16">
        <f>ParametersCalculation!C48</f>
        <v>0.34408602150537637</v>
      </c>
      <c r="D124" s="2" t="s">
        <v>23</v>
      </c>
      <c r="E124" s="1" t="s">
        <v>518</v>
      </c>
      <c r="F124" s="1"/>
      <c r="G124" s="1" t="s">
        <v>33</v>
      </c>
      <c r="H124" s="1" t="s">
        <v>20</v>
      </c>
      <c r="I124" s="19"/>
    </row>
    <row r="125" spans="1:11" x14ac:dyDescent="0.25">
      <c r="A125" s="1" t="s">
        <v>82</v>
      </c>
      <c r="B125" s="1" t="s">
        <v>24</v>
      </c>
      <c r="C125" s="16">
        <f>ParametersCalculation!B48</f>
        <v>0.25806451612903225</v>
      </c>
      <c r="D125" s="2" t="s">
        <v>23</v>
      </c>
      <c r="E125" s="1" t="s">
        <v>518</v>
      </c>
      <c r="F125" s="1"/>
      <c r="G125" s="1" t="s">
        <v>33</v>
      </c>
      <c r="H125" s="1" t="s">
        <v>20</v>
      </c>
      <c r="I125" s="19"/>
    </row>
    <row r="126" spans="1:11" x14ac:dyDescent="0.25">
      <c r="A126" s="1" t="s">
        <v>77</v>
      </c>
      <c r="B126" s="1" t="s">
        <v>24</v>
      </c>
      <c r="C126" s="16">
        <f>ParametersCalculation!G48</f>
        <v>0.22580645161290322</v>
      </c>
      <c r="D126" s="2" t="s">
        <v>23</v>
      </c>
      <c r="E126" s="1" t="s">
        <v>518</v>
      </c>
      <c r="F126" s="1"/>
      <c r="G126" s="1" t="s">
        <v>33</v>
      </c>
      <c r="H126" s="1" t="s">
        <v>20</v>
      </c>
      <c r="I126" s="19"/>
    </row>
    <row r="127" spans="1:11" s="6" customFormat="1" x14ac:dyDescent="0.25">
      <c r="C127" s="11"/>
    </row>
    <row r="128" spans="1:11" x14ac:dyDescent="0.25">
      <c r="A128" s="4" t="s">
        <v>1</v>
      </c>
      <c r="B128" s="4" t="s">
        <v>317</v>
      </c>
      <c r="C128" s="7"/>
      <c r="D128" s="2"/>
      <c r="E128" s="2"/>
      <c r="F128" s="2"/>
      <c r="G128" s="2"/>
      <c r="H128" s="2"/>
      <c r="I128" s="2"/>
    </row>
    <row r="129" spans="1:9" x14ac:dyDescent="0.25">
      <c r="A129" s="4" t="s">
        <v>2</v>
      </c>
      <c r="B129" s="2" t="s">
        <v>319</v>
      </c>
      <c r="C129" s="7"/>
      <c r="D129" s="2"/>
      <c r="E129" s="2"/>
      <c r="F129" s="2"/>
      <c r="G129" s="2"/>
      <c r="H129" s="2"/>
      <c r="I129" s="2"/>
    </row>
    <row r="130" spans="1:9" x14ac:dyDescent="0.25">
      <c r="A130" s="4" t="s">
        <v>3</v>
      </c>
      <c r="B130" s="2" t="s">
        <v>33</v>
      </c>
      <c r="C130" s="7"/>
      <c r="D130" s="2"/>
      <c r="E130" s="2"/>
      <c r="F130" s="2"/>
      <c r="G130" s="2"/>
      <c r="H130" s="2"/>
      <c r="I130" s="2"/>
    </row>
    <row r="131" spans="1:9" x14ac:dyDescent="0.25">
      <c r="A131" s="10" t="s">
        <v>10</v>
      </c>
      <c r="B131" s="2" t="s">
        <v>318</v>
      </c>
      <c r="C131" s="7"/>
      <c r="D131" s="2"/>
      <c r="E131" s="2"/>
      <c r="F131" s="2"/>
      <c r="G131" s="2"/>
      <c r="H131" s="2"/>
      <c r="I131" s="2"/>
    </row>
    <row r="132" spans="1:9" x14ac:dyDescent="0.25">
      <c r="A132" s="4" t="s">
        <v>4</v>
      </c>
      <c r="B132" s="8">
        <v>1</v>
      </c>
      <c r="C132" s="7"/>
      <c r="D132" s="5"/>
      <c r="E132" s="2"/>
      <c r="F132" s="2"/>
      <c r="G132" s="2"/>
      <c r="H132" s="2"/>
      <c r="I132" s="2"/>
    </row>
    <row r="133" spans="1:9" x14ac:dyDescent="0.25">
      <c r="A133" s="4" t="s">
        <v>6</v>
      </c>
      <c r="B133" s="2" t="s">
        <v>7</v>
      </c>
      <c r="C133" s="7"/>
      <c r="D133" s="5"/>
      <c r="E133" s="2"/>
      <c r="F133" s="2"/>
      <c r="G133" s="2"/>
      <c r="H133" s="2"/>
      <c r="I133" s="2"/>
    </row>
    <row r="134" spans="1:9" x14ac:dyDescent="0.25">
      <c r="A134" s="4" t="s">
        <v>18</v>
      </c>
      <c r="B134" s="2"/>
      <c r="C134" s="7"/>
      <c r="D134" s="5"/>
      <c r="E134" s="2"/>
      <c r="F134" s="2"/>
      <c r="G134" s="2"/>
      <c r="H134" s="2"/>
      <c r="I134" s="2"/>
    </row>
    <row r="135" spans="1:9" x14ac:dyDescent="0.25">
      <c r="A135" s="4" t="s">
        <v>8</v>
      </c>
      <c r="B135" s="2"/>
      <c r="C135" s="7"/>
      <c r="D135" s="2"/>
      <c r="E135" s="2"/>
      <c r="F135" s="2"/>
      <c r="G135" s="2"/>
      <c r="H135" s="2"/>
      <c r="I135" s="2"/>
    </row>
    <row r="136" spans="1:9" x14ac:dyDescent="0.25">
      <c r="A136" s="4" t="s">
        <v>9</v>
      </c>
      <c r="B136" s="4" t="s">
        <v>10</v>
      </c>
      <c r="C136" s="9" t="s">
        <v>11</v>
      </c>
      <c r="D136" s="4" t="s">
        <v>6</v>
      </c>
      <c r="E136" s="4" t="s">
        <v>12</v>
      </c>
      <c r="F136" s="4" t="s">
        <v>13</v>
      </c>
      <c r="G136" s="4" t="s">
        <v>3</v>
      </c>
      <c r="H136" s="4" t="s">
        <v>5</v>
      </c>
      <c r="I136" s="4" t="s">
        <v>2</v>
      </c>
    </row>
    <row r="137" spans="1:9" x14ac:dyDescent="0.25">
      <c r="A137" s="1" t="s">
        <v>317</v>
      </c>
      <c r="B137" s="1" t="s">
        <v>318</v>
      </c>
      <c r="C137" s="16">
        <v>1</v>
      </c>
      <c r="D137" s="2" t="s">
        <v>7</v>
      </c>
      <c r="E137" s="1" t="s">
        <v>518</v>
      </c>
      <c r="F137" s="1"/>
      <c r="G137" s="1" t="s">
        <v>33</v>
      </c>
      <c r="H137" s="1" t="s">
        <v>14</v>
      </c>
      <c r="I137" s="1"/>
    </row>
    <row r="138" spans="1:9" x14ac:dyDescent="0.25">
      <c r="A138" s="1" t="s">
        <v>242</v>
      </c>
      <c r="B138" s="1" t="s">
        <v>243</v>
      </c>
      <c r="C138" s="16">
        <f>ParametersCalculation!$C$29/1000</f>
        <v>0.01</v>
      </c>
      <c r="D138" s="2" t="s">
        <v>204</v>
      </c>
      <c r="E138" s="1" t="s">
        <v>19</v>
      </c>
      <c r="F138" s="1"/>
      <c r="G138" s="1" t="s">
        <v>33</v>
      </c>
      <c r="H138" s="1" t="s">
        <v>20</v>
      </c>
      <c r="I138" s="1"/>
    </row>
    <row r="139" spans="1:9" s="6" customFormat="1" x14ac:dyDescent="0.25">
      <c r="C139" s="11"/>
    </row>
    <row r="140" spans="1:9" s="2" customFormat="1" x14ac:dyDescent="0.25">
      <c r="A140" s="4" t="s">
        <v>1</v>
      </c>
      <c r="B140" s="4" t="s">
        <v>104</v>
      </c>
      <c r="C140" s="7"/>
    </row>
    <row r="141" spans="1:9" s="2" customFormat="1" x14ac:dyDescent="0.25">
      <c r="A141" s="4" t="s">
        <v>2</v>
      </c>
      <c r="B141" s="2" t="s">
        <v>320</v>
      </c>
      <c r="C141" s="7"/>
    </row>
    <row r="142" spans="1:9" s="2" customFormat="1" x14ac:dyDescent="0.25">
      <c r="A142" s="4" t="s">
        <v>3</v>
      </c>
      <c r="B142" s="2" t="s">
        <v>33</v>
      </c>
      <c r="C142" s="7"/>
    </row>
    <row r="143" spans="1:9" s="2" customFormat="1" x14ac:dyDescent="0.25">
      <c r="A143" s="10" t="s">
        <v>10</v>
      </c>
      <c r="B143" s="2" t="s">
        <v>83</v>
      </c>
      <c r="C143" s="7"/>
    </row>
    <row r="144" spans="1:9" s="2" customFormat="1" x14ac:dyDescent="0.25">
      <c r="A144" s="4" t="s">
        <v>4</v>
      </c>
      <c r="B144" s="8">
        <v>1</v>
      </c>
      <c r="C144" s="7"/>
      <c r="D144" s="5"/>
    </row>
    <row r="145" spans="1:11" s="2" customFormat="1" x14ac:dyDescent="0.25">
      <c r="A145" s="4" t="s">
        <v>6</v>
      </c>
      <c r="B145" s="2" t="s">
        <v>7</v>
      </c>
      <c r="C145" s="7"/>
      <c r="D145" s="5"/>
    </row>
    <row r="146" spans="1:11" s="2" customFormat="1" x14ac:dyDescent="0.25">
      <c r="A146" s="4" t="s">
        <v>18</v>
      </c>
      <c r="C146" s="7"/>
      <c r="D146" s="5"/>
    </row>
    <row r="147" spans="1:11" s="2" customFormat="1" x14ac:dyDescent="0.25">
      <c r="A147" s="4" t="s">
        <v>8</v>
      </c>
      <c r="C147" s="7"/>
    </row>
    <row r="148" spans="1:11" s="2" customFormat="1" x14ac:dyDescent="0.25">
      <c r="A148" s="4" t="s">
        <v>9</v>
      </c>
      <c r="B148" s="4" t="s">
        <v>10</v>
      </c>
      <c r="C148" s="9" t="s">
        <v>11</v>
      </c>
      <c r="D148" s="4" t="s">
        <v>6</v>
      </c>
      <c r="E148" s="4" t="s">
        <v>12</v>
      </c>
      <c r="F148" s="4" t="s">
        <v>13</v>
      </c>
      <c r="G148" s="4" t="s">
        <v>3</v>
      </c>
      <c r="H148" s="4" t="s">
        <v>5</v>
      </c>
      <c r="I148" s="4" t="s">
        <v>2</v>
      </c>
    </row>
    <row r="149" spans="1:11" s="2" customFormat="1" x14ac:dyDescent="0.25">
      <c r="A149" s="1" t="s">
        <v>104</v>
      </c>
      <c r="B149" s="1" t="s">
        <v>83</v>
      </c>
      <c r="C149" s="16">
        <v>1</v>
      </c>
      <c r="D149" s="2" t="s">
        <v>7</v>
      </c>
      <c r="E149" s="1" t="s">
        <v>518</v>
      </c>
      <c r="F149" s="1"/>
      <c r="G149" s="1" t="s">
        <v>33</v>
      </c>
      <c r="H149" s="1" t="s">
        <v>14</v>
      </c>
      <c r="I149" s="1"/>
      <c r="J149" s="1"/>
      <c r="K149" s="1"/>
    </row>
    <row r="150" spans="1:11" s="2" customFormat="1" x14ac:dyDescent="0.25">
      <c r="A150" s="1" t="s">
        <v>242</v>
      </c>
      <c r="B150" s="1" t="s">
        <v>243</v>
      </c>
      <c r="C150" s="16">
        <f>ParametersCalculation!$B$29/1000</f>
        <v>0.02</v>
      </c>
      <c r="D150" s="2" t="s">
        <v>204</v>
      </c>
      <c r="E150" s="1" t="s">
        <v>19</v>
      </c>
      <c r="F150" s="1"/>
      <c r="G150" s="1" t="s">
        <v>33</v>
      </c>
      <c r="H150" s="1" t="s">
        <v>20</v>
      </c>
      <c r="I150" s="1"/>
      <c r="J150" s="1"/>
      <c r="K150" s="1"/>
    </row>
    <row r="151" spans="1:11" s="6" customFormat="1" x14ac:dyDescent="0.25">
      <c r="C151" s="11"/>
    </row>
    <row r="152" spans="1:11" s="2" customFormat="1" x14ac:dyDescent="0.25">
      <c r="A152" s="4" t="s">
        <v>1</v>
      </c>
      <c r="B152" s="4" t="s">
        <v>258</v>
      </c>
      <c r="C152" s="7"/>
    </row>
    <row r="153" spans="1:11" s="2" customFormat="1" x14ac:dyDescent="0.25">
      <c r="A153" s="4" t="s">
        <v>2</v>
      </c>
      <c r="B153" s="2" t="s">
        <v>321</v>
      </c>
      <c r="C153" s="7"/>
    </row>
    <row r="154" spans="1:11" s="2" customFormat="1" x14ac:dyDescent="0.25">
      <c r="A154" s="4" t="s">
        <v>3</v>
      </c>
      <c r="B154" s="2" t="s">
        <v>33</v>
      </c>
      <c r="C154" s="7"/>
    </row>
    <row r="155" spans="1:11" s="2" customFormat="1" x14ac:dyDescent="0.25">
      <c r="A155" s="10" t="s">
        <v>10</v>
      </c>
      <c r="B155" s="2" t="s">
        <v>259</v>
      </c>
      <c r="C155" s="7"/>
    </row>
    <row r="156" spans="1:11" s="2" customFormat="1" x14ac:dyDescent="0.25">
      <c r="A156" s="4" t="s">
        <v>4</v>
      </c>
      <c r="B156" s="8">
        <v>1</v>
      </c>
      <c r="C156" s="7"/>
      <c r="D156" s="5"/>
    </row>
    <row r="157" spans="1:11" s="2" customFormat="1" x14ac:dyDescent="0.25">
      <c r="A157" s="4" t="s">
        <v>6</v>
      </c>
      <c r="B157" s="2" t="s">
        <v>7</v>
      </c>
      <c r="C157" s="7"/>
      <c r="D157" s="5"/>
    </row>
    <row r="158" spans="1:11" s="2" customFormat="1" x14ac:dyDescent="0.25">
      <c r="A158" s="4" t="s">
        <v>18</v>
      </c>
      <c r="B158" t="s">
        <v>263</v>
      </c>
      <c r="C158" s="7"/>
      <c r="D158" s="5"/>
    </row>
    <row r="159" spans="1:11" s="2" customFormat="1" x14ac:dyDescent="0.25">
      <c r="A159" s="4" t="s">
        <v>8</v>
      </c>
      <c r="C159" s="7"/>
    </row>
    <row r="160" spans="1:11" s="2" customFormat="1" x14ac:dyDescent="0.25">
      <c r="A160" s="4" t="s">
        <v>9</v>
      </c>
      <c r="B160" s="4" t="s">
        <v>10</v>
      </c>
      <c r="C160" s="9" t="s">
        <v>11</v>
      </c>
      <c r="D160" s="4" t="s">
        <v>6</v>
      </c>
      <c r="E160" s="4" t="s">
        <v>12</v>
      </c>
      <c r="F160" s="4" t="s">
        <v>13</v>
      </c>
      <c r="G160" s="4" t="s">
        <v>3</v>
      </c>
      <c r="H160" s="4" t="s">
        <v>5</v>
      </c>
      <c r="I160" s="4" t="s">
        <v>2</v>
      </c>
    </row>
    <row r="161" spans="1:11" s="2" customFormat="1" x14ac:dyDescent="0.25">
      <c r="A161" s="1" t="s">
        <v>258</v>
      </c>
      <c r="B161" s="1" t="s">
        <v>259</v>
      </c>
      <c r="C161" s="16">
        <v>1</v>
      </c>
      <c r="D161" s="2" t="s">
        <v>7</v>
      </c>
      <c r="E161" s="1" t="s">
        <v>518</v>
      </c>
      <c r="F161" s="1"/>
      <c r="G161" s="1" t="s">
        <v>33</v>
      </c>
      <c r="H161" s="1" t="s">
        <v>14</v>
      </c>
      <c r="I161" s="1"/>
      <c r="J161" s="1"/>
      <c r="K161" s="1"/>
    </row>
    <row r="162" spans="1:11" s="2" customFormat="1" x14ac:dyDescent="0.25">
      <c r="A162" s="1" t="s">
        <v>76</v>
      </c>
      <c r="B162" s="1" t="s">
        <v>113</v>
      </c>
      <c r="C162" s="7">
        <f>80/20000</f>
        <v>4.0000000000000001E-3</v>
      </c>
      <c r="D162" s="2" t="s">
        <v>7</v>
      </c>
      <c r="E162" s="1" t="s">
        <v>19</v>
      </c>
      <c r="F162" s="1"/>
      <c r="G162" s="1" t="s">
        <v>33</v>
      </c>
      <c r="H162" s="1" t="s">
        <v>20</v>
      </c>
      <c r="I162" s="1" t="s">
        <v>78</v>
      </c>
      <c r="J162" s="1"/>
      <c r="K162" s="1"/>
    </row>
    <row r="163" spans="1:11" s="2" customFormat="1" x14ac:dyDescent="0.25">
      <c r="A163" s="1" t="s">
        <v>73</v>
      </c>
      <c r="B163" s="1" t="s">
        <v>74</v>
      </c>
      <c r="C163" s="7">
        <f>1/20000</f>
        <v>5.0000000000000002E-5</v>
      </c>
      <c r="D163" s="2" t="s">
        <v>75</v>
      </c>
      <c r="E163" s="1" t="s">
        <v>19</v>
      </c>
      <c r="F163" s="1"/>
      <c r="G163" s="1" t="s">
        <v>15</v>
      </c>
      <c r="H163" s="1" t="s">
        <v>20</v>
      </c>
      <c r="I163" s="1" t="s">
        <v>261</v>
      </c>
      <c r="J163" s="1"/>
      <c r="K163" s="1"/>
    </row>
    <row r="164" spans="1:11" s="2" customFormat="1" x14ac:dyDescent="0.25">
      <c r="A164" s="1" t="s">
        <v>242</v>
      </c>
      <c r="B164" s="1" t="s">
        <v>243</v>
      </c>
      <c r="C164" s="16">
        <f>ParametersCalculation!$G$29/1000</f>
        <v>0.02</v>
      </c>
      <c r="D164" s="2" t="s">
        <v>204</v>
      </c>
      <c r="E164" s="1" t="s">
        <v>19</v>
      </c>
      <c r="F164" s="1"/>
      <c r="G164" s="1" t="s">
        <v>33</v>
      </c>
      <c r="H164" s="1" t="s">
        <v>20</v>
      </c>
      <c r="I164" s="1" t="s">
        <v>257</v>
      </c>
      <c r="J164" s="1"/>
      <c r="K164" s="1"/>
    </row>
    <row r="165" spans="1:11" x14ac:dyDescent="0.25">
      <c r="A165" t="s">
        <v>54</v>
      </c>
      <c r="C165" s="7">
        <f>88/20000</f>
        <v>4.4000000000000003E-3</v>
      </c>
      <c r="D165" s="2" t="s">
        <v>7</v>
      </c>
      <c r="E165" s="2" t="s">
        <v>16</v>
      </c>
      <c r="F165" s="2" t="s">
        <v>114</v>
      </c>
      <c r="H165" s="2" t="s">
        <v>17</v>
      </c>
      <c r="I165" s="2" t="s">
        <v>79</v>
      </c>
    </row>
    <row r="185" spans="5:5" x14ac:dyDescent="0.25">
      <c r="E185" s="9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0D9BE-8120-4696-BCF6-482C59DF25EB}">
  <dimension ref="A1:W68"/>
  <sheetViews>
    <sheetView topLeftCell="A31" zoomScaleNormal="100" workbookViewId="0">
      <selection activeCell="I5" sqref="I5:J6"/>
    </sheetView>
  </sheetViews>
  <sheetFormatPr defaultRowHeight="15" x14ac:dyDescent="0.25"/>
  <cols>
    <col min="1" max="1" width="21.85546875" customWidth="1"/>
    <col min="2" max="2" width="30.28515625" customWidth="1"/>
    <col min="3" max="3" width="11.28515625" style="13" customWidth="1"/>
    <col min="4" max="10" width="9.140625" style="13"/>
  </cols>
  <sheetData>
    <row r="1" spans="1:23" x14ac:dyDescent="0.25">
      <c r="A1" t="s">
        <v>57</v>
      </c>
    </row>
    <row r="2" spans="1:23" ht="26.25" x14ac:dyDescent="0.4">
      <c r="A2" s="100" t="s">
        <v>555</v>
      </c>
    </row>
    <row r="4" spans="1:23" x14ac:dyDescent="0.25">
      <c r="C4" s="103" t="s">
        <v>210</v>
      </c>
      <c r="D4" s="104" t="s">
        <v>103</v>
      </c>
    </row>
    <row r="5" spans="1:23" x14ac:dyDescent="0.25">
      <c r="I5" s="120"/>
      <c r="J5" s="120"/>
    </row>
    <row r="6" spans="1:23" ht="18.75" x14ac:dyDescent="0.3">
      <c r="A6" s="43" t="s">
        <v>92</v>
      </c>
    </row>
    <row r="7" spans="1:23" x14ac:dyDescent="0.25">
      <c r="A7" s="102" t="s">
        <v>550</v>
      </c>
      <c r="B7" s="102" t="s">
        <v>210</v>
      </c>
      <c r="C7" s="105" t="s">
        <v>551</v>
      </c>
      <c r="D7" s="105">
        <v>1.1000000000000001</v>
      </c>
      <c r="E7" s="105">
        <v>1.2</v>
      </c>
      <c r="F7" s="105">
        <v>1.3</v>
      </c>
      <c r="G7" s="105">
        <v>1.4</v>
      </c>
      <c r="H7" s="105">
        <v>1.5</v>
      </c>
      <c r="I7" s="105">
        <v>1.6</v>
      </c>
      <c r="J7" s="105">
        <v>1.7</v>
      </c>
      <c r="K7" s="105">
        <v>1.8</v>
      </c>
      <c r="L7" s="105">
        <v>1.9</v>
      </c>
      <c r="M7" s="110">
        <v>2</v>
      </c>
      <c r="N7" s="105">
        <v>2.1</v>
      </c>
      <c r="O7" s="110">
        <v>2.2000000000000002</v>
      </c>
      <c r="P7" s="105">
        <v>2.2999999999999998</v>
      </c>
      <c r="Q7" s="110">
        <v>2.4</v>
      </c>
      <c r="R7" s="105">
        <v>2.5</v>
      </c>
      <c r="S7" s="110">
        <v>2.6</v>
      </c>
      <c r="T7" s="105">
        <v>2.7</v>
      </c>
      <c r="U7" s="110">
        <v>2.8</v>
      </c>
      <c r="V7" s="105">
        <v>2.9</v>
      </c>
      <c r="W7" s="110">
        <v>3</v>
      </c>
    </row>
    <row r="8" spans="1:23" s="107" customFormat="1" ht="30" x14ac:dyDescent="0.25">
      <c r="A8" s="128" t="s">
        <v>568</v>
      </c>
      <c r="B8" s="101" t="s">
        <v>192</v>
      </c>
      <c r="C8" s="106">
        <f>ParametersCalculation!B19</f>
        <v>3.2000000000000001E-2</v>
      </c>
      <c r="D8" s="106">
        <f>$C$8*D7</f>
        <v>3.5200000000000002E-2</v>
      </c>
      <c r="E8" s="106">
        <f t="shared" ref="E8:M8" si="0">$C$8*E7</f>
        <v>3.8399999999999997E-2</v>
      </c>
      <c r="F8" s="106">
        <f t="shared" si="0"/>
        <v>4.1600000000000005E-2</v>
      </c>
      <c r="G8" s="106">
        <f t="shared" si="0"/>
        <v>4.48E-2</v>
      </c>
      <c r="H8" s="106">
        <f t="shared" si="0"/>
        <v>4.8000000000000001E-2</v>
      </c>
      <c r="I8" s="106">
        <f t="shared" si="0"/>
        <v>5.1200000000000002E-2</v>
      </c>
      <c r="J8" s="106">
        <f t="shared" si="0"/>
        <v>5.4399999999999997E-2</v>
      </c>
      <c r="K8" s="106">
        <f t="shared" si="0"/>
        <v>5.7600000000000005E-2</v>
      </c>
      <c r="L8" s="106">
        <f t="shared" si="0"/>
        <v>6.08E-2</v>
      </c>
      <c r="M8" s="106">
        <f t="shared" si="0"/>
        <v>6.4000000000000001E-2</v>
      </c>
      <c r="N8" s="106">
        <f t="shared" ref="N8" si="1">$C$8*N7</f>
        <v>6.720000000000001E-2</v>
      </c>
      <c r="O8" s="106">
        <f t="shared" ref="O8" si="2">$C$8*O7</f>
        <v>7.0400000000000004E-2</v>
      </c>
      <c r="P8" s="106">
        <f t="shared" ref="P8" si="3">$C$8*P7</f>
        <v>7.3599999999999999E-2</v>
      </c>
      <c r="Q8" s="106">
        <f t="shared" ref="Q8" si="4">$C$8*Q7</f>
        <v>7.6799999999999993E-2</v>
      </c>
      <c r="R8" s="106">
        <f t="shared" ref="R8" si="5">$C$8*R7</f>
        <v>0.08</v>
      </c>
      <c r="S8" s="106">
        <f t="shared" ref="S8" si="6">$C$8*S7</f>
        <v>8.320000000000001E-2</v>
      </c>
      <c r="T8" s="106">
        <f t="shared" ref="T8" si="7">$C$8*T7</f>
        <v>8.6400000000000005E-2</v>
      </c>
      <c r="U8" s="106">
        <f t="shared" ref="U8" si="8">$C$8*U7</f>
        <v>8.9599999999999999E-2</v>
      </c>
      <c r="V8" s="106">
        <f t="shared" ref="V8" si="9">$C$8*V7</f>
        <v>9.2799999999999994E-2</v>
      </c>
      <c r="W8" s="106">
        <f t="shared" ref="W8" si="10">$C$8*W7</f>
        <v>9.6000000000000002E-2</v>
      </c>
    </row>
    <row r="9" spans="1:23" s="107" customFormat="1" ht="30" x14ac:dyDescent="0.25">
      <c r="A9" s="129"/>
      <c r="B9" s="111" t="s">
        <v>552</v>
      </c>
      <c r="C9" s="112">
        <f>1+C8+SUM(ParametersCalculation!$B$20:$B$21)</f>
        <v>1.2330000000000001</v>
      </c>
      <c r="D9" s="112">
        <f>1+D8+SUM(ParametersCalculation!$B$20:$B$21)</f>
        <v>1.2362</v>
      </c>
      <c r="E9" s="112">
        <f>1+E8+SUM(ParametersCalculation!$B$20:$B$21)</f>
        <v>1.2394000000000001</v>
      </c>
      <c r="F9" s="112">
        <f>1+F8+SUM(ParametersCalculation!$B$20:$B$21)</f>
        <v>1.2426000000000001</v>
      </c>
      <c r="G9" s="112">
        <f>1+G8+SUM(ParametersCalculation!$B$20:$B$21)</f>
        <v>1.2458</v>
      </c>
      <c r="H9" s="112">
        <f>1+H8+SUM(ParametersCalculation!$B$20:$B$21)</f>
        <v>1.2490000000000001</v>
      </c>
      <c r="I9" s="112">
        <f>1+I8+SUM(ParametersCalculation!$B$20:$B$21)</f>
        <v>1.2522</v>
      </c>
      <c r="J9" s="112">
        <f>1+J8+SUM(ParametersCalculation!$B$20:$B$21)</f>
        <v>1.2554000000000001</v>
      </c>
      <c r="K9" s="112">
        <f>1+K8+SUM(ParametersCalculation!$B$20:$B$21)</f>
        <v>1.2586000000000002</v>
      </c>
      <c r="L9" s="112">
        <f>1+L8+SUM(ParametersCalculation!$B$20:$B$21)</f>
        <v>1.2618</v>
      </c>
      <c r="M9" s="112">
        <f>1+M8+SUM(ParametersCalculation!$B$20:$B$21)</f>
        <v>1.2650000000000001</v>
      </c>
      <c r="N9" s="112">
        <f>1+N8+SUM(ParametersCalculation!$B$20:$B$21)</f>
        <v>1.2682</v>
      </c>
      <c r="O9" s="112">
        <f>1+O8+SUM(ParametersCalculation!$B$20:$B$21)</f>
        <v>1.2714000000000001</v>
      </c>
      <c r="P9" s="112">
        <f>1+P8+SUM(ParametersCalculation!$B$20:$B$21)</f>
        <v>1.2746</v>
      </c>
      <c r="Q9" s="112">
        <f>1+Q8+SUM(ParametersCalculation!$B$20:$B$21)</f>
        <v>1.2778</v>
      </c>
      <c r="R9" s="112">
        <f>1+R8+SUM(ParametersCalculation!$B$20:$B$21)</f>
        <v>1.2810000000000001</v>
      </c>
      <c r="S9" s="112">
        <f>1+S8+SUM(ParametersCalculation!$B$20:$B$21)</f>
        <v>1.2842</v>
      </c>
      <c r="T9" s="112">
        <f>1+T8+SUM(ParametersCalculation!$B$20:$B$21)</f>
        <v>1.2874000000000001</v>
      </c>
      <c r="U9" s="112">
        <f>1+U8+SUM(ParametersCalculation!$B$20:$B$21)</f>
        <v>1.2906</v>
      </c>
      <c r="V9" s="112">
        <f>1+V8+SUM(ParametersCalculation!$B$20:$B$21)</f>
        <v>1.2938000000000001</v>
      </c>
      <c r="W9" s="112">
        <f>1+W8+SUM(ParametersCalculation!$B$20:$B$21)</f>
        <v>1.2970000000000002</v>
      </c>
    </row>
    <row r="10" spans="1:23" s="107" customFormat="1" ht="32.25" x14ac:dyDescent="0.25">
      <c r="A10" s="129"/>
      <c r="B10" s="113" t="s">
        <v>558</v>
      </c>
      <c r="C10" s="112">
        <f>((ParametersCalculation!$B$13*GasesProperties!$B$4*12/16)+(ParametersCalculation!$B$14*GasesProperties!$B$5*12/44))*C9</f>
        <v>0.66669683113636369</v>
      </c>
      <c r="D10" s="112">
        <f>((ParametersCalculation!$B$13*GasesProperties!$B$4*12/16)+(ParametersCalculation!$B$14*GasesProperties!$B$5*12/44))*D9</f>
        <v>0.66842710677272721</v>
      </c>
      <c r="E10" s="112">
        <f>((ParametersCalculation!$B$13*GasesProperties!$B$4*12/16)+(ParametersCalculation!$B$14*GasesProperties!$B$5*12/44))*E9</f>
        <v>0.67015738240909084</v>
      </c>
      <c r="F10" s="112">
        <f>((ParametersCalculation!$B$13*GasesProperties!$B$4*12/16)+(ParametersCalculation!$B$14*GasesProperties!$B$5*12/44))*F9</f>
        <v>0.67188765804545458</v>
      </c>
      <c r="G10" s="112">
        <f>((ParametersCalculation!$B$13*GasesProperties!$B$4*12/16)+(ParametersCalculation!$B$14*GasesProperties!$B$5*12/44))*G9</f>
        <v>0.6736179336818181</v>
      </c>
      <c r="H10" s="112">
        <f>((ParametersCalculation!$B$13*GasesProperties!$B$4*12/16)+(ParametersCalculation!$B$14*GasesProperties!$B$5*12/44))*H9</f>
        <v>0.67534820931818185</v>
      </c>
      <c r="I10" s="112">
        <f>((ParametersCalculation!$B$13*GasesProperties!$B$4*12/16)+(ParametersCalculation!$B$14*GasesProperties!$B$5*12/44))*I9</f>
        <v>0.67707848495454537</v>
      </c>
      <c r="J10" s="112">
        <f>((ParametersCalculation!$B$13*GasesProperties!$B$4*12/16)+(ParametersCalculation!$B$14*GasesProperties!$B$5*12/44))*J9</f>
        <v>0.67880876059090911</v>
      </c>
      <c r="K10" s="112">
        <f>((ParametersCalculation!$B$13*GasesProperties!$B$4*12/16)+(ParametersCalculation!$B$14*GasesProperties!$B$5*12/44))*K9</f>
        <v>0.68053903622727274</v>
      </c>
      <c r="L10" s="112">
        <f>((ParametersCalculation!$B$13*GasesProperties!$B$4*12/16)+(ParametersCalculation!$B$14*GasesProperties!$B$5*12/44))*L9</f>
        <v>0.68226931186363637</v>
      </c>
      <c r="M10" s="112">
        <f>((ParametersCalculation!$B$13*GasesProperties!$B$4*12/16)+(ParametersCalculation!$B$14*GasesProperties!$B$5*12/44))*M9</f>
        <v>0.68399958750000001</v>
      </c>
      <c r="N10" s="112">
        <f>((ParametersCalculation!$B$13*GasesProperties!$B$4*12/16)+(ParametersCalculation!$B$14*GasesProperties!$B$5*12/44))*N9</f>
        <v>0.68572986313636364</v>
      </c>
      <c r="O10" s="112">
        <f>((ParametersCalculation!$B$13*GasesProperties!$B$4*12/16)+(ParametersCalculation!$B$14*GasesProperties!$B$5*12/44))*O9</f>
        <v>0.68746013877272727</v>
      </c>
      <c r="P10" s="112">
        <f>((ParametersCalculation!$B$13*GasesProperties!$B$4*12/16)+(ParametersCalculation!$B$14*GasesProperties!$B$5*12/44))*P9</f>
        <v>0.68919041440909079</v>
      </c>
      <c r="Q10" s="112">
        <f>((ParametersCalculation!$B$13*GasesProperties!$B$4*12/16)+(ParametersCalculation!$B$14*GasesProperties!$B$5*12/44))*Q9</f>
        <v>0.69092069004545453</v>
      </c>
      <c r="R10" s="112">
        <f>((ParametersCalculation!$B$13*GasesProperties!$B$4*12/16)+(ParametersCalculation!$B$14*GasesProperties!$B$5*12/44))*R9</f>
        <v>0.69265096568181816</v>
      </c>
      <c r="S10" s="112">
        <f>((ParametersCalculation!$B$13*GasesProperties!$B$4*12/16)+(ParametersCalculation!$B$14*GasesProperties!$B$5*12/44))*S9</f>
        <v>0.6943812413181818</v>
      </c>
      <c r="T10" s="112">
        <f>((ParametersCalculation!$B$13*GasesProperties!$B$4*12/16)+(ParametersCalculation!$B$14*GasesProperties!$B$5*12/44))*T9</f>
        <v>0.69611151695454543</v>
      </c>
      <c r="U10" s="112">
        <f>((ParametersCalculation!$B$13*GasesProperties!$B$4*12/16)+(ParametersCalculation!$B$14*GasesProperties!$B$5*12/44))*U9</f>
        <v>0.69784179259090906</v>
      </c>
      <c r="V10" s="112">
        <f>((ParametersCalculation!$B$13*GasesProperties!$B$4*12/16)+(ParametersCalculation!$B$14*GasesProperties!$B$5*12/44))*V9</f>
        <v>0.69957206822727269</v>
      </c>
      <c r="W10" s="112">
        <f>((ParametersCalculation!$B$13*GasesProperties!$B$4*12/16)+(ParametersCalculation!$B$14*GasesProperties!$B$5*12/44))*W9</f>
        <v>0.70130234386363643</v>
      </c>
    </row>
    <row r="11" spans="1:23" s="107" customFormat="1" x14ac:dyDescent="0.25">
      <c r="A11" s="132" t="s">
        <v>91</v>
      </c>
      <c r="B11" s="108" t="s">
        <v>557</v>
      </c>
      <c r="C11" s="109">
        <f>C9/ParametersCalculation!$B$15</f>
        <v>3.7587555322152353</v>
      </c>
      <c r="D11" s="109">
        <f>D9/ParametersCalculation!$B$15</f>
        <v>3.7685106155105217</v>
      </c>
      <c r="E11" s="109">
        <f>E9/ParametersCalculation!$B$15</f>
        <v>3.778265698805809</v>
      </c>
      <c r="F11" s="109">
        <f>F9/ParametersCalculation!$B$15</f>
        <v>3.7880207821010958</v>
      </c>
      <c r="G11" s="109">
        <f>G9/ParametersCalculation!$B$15</f>
        <v>3.7977758653963822</v>
      </c>
      <c r="H11" s="109">
        <f>H9/ParametersCalculation!$B$15</f>
        <v>3.8075309486916695</v>
      </c>
      <c r="I11" s="109">
        <f>I9/ParametersCalculation!$B$15</f>
        <v>3.8172860319869559</v>
      </c>
      <c r="J11" s="109">
        <f>J9/ParametersCalculation!$B$15</f>
        <v>3.8270411152822432</v>
      </c>
      <c r="K11" s="109">
        <f>K9/ParametersCalculation!$B$15</f>
        <v>3.8367961985775305</v>
      </c>
      <c r="L11" s="109">
        <f>L9/ParametersCalculation!$B$15</f>
        <v>3.8465512818728169</v>
      </c>
      <c r="M11" s="109">
        <f>M9/ParametersCalculation!$B$15</f>
        <v>3.8563063651681042</v>
      </c>
      <c r="N11" s="109">
        <f>N9/ParametersCalculation!$B$15</f>
        <v>3.8660614484633906</v>
      </c>
      <c r="O11" s="109">
        <f>O9/ParametersCalculation!$B$15</f>
        <v>3.8758165317586779</v>
      </c>
      <c r="P11" s="109">
        <f>P9/ParametersCalculation!$B$15</f>
        <v>3.8855716150539643</v>
      </c>
      <c r="Q11" s="109">
        <f>Q9/ParametersCalculation!$B$15</f>
        <v>3.8953266983492516</v>
      </c>
      <c r="R11" s="109">
        <f>R9/ParametersCalculation!$B$15</f>
        <v>3.9050817816445389</v>
      </c>
      <c r="S11" s="109">
        <f>S9/ParametersCalculation!$B$15</f>
        <v>3.9148368649398253</v>
      </c>
      <c r="T11" s="109">
        <f>T9/ParametersCalculation!$B$15</f>
        <v>3.9245919482351126</v>
      </c>
      <c r="U11" s="109">
        <f>U9/ParametersCalculation!$B$15</f>
        <v>3.934347031530399</v>
      </c>
      <c r="V11" s="109">
        <f>V9/ParametersCalculation!$B$15</f>
        <v>3.9441021148256863</v>
      </c>
      <c r="W11" s="109">
        <f>W9/ParametersCalculation!$B$15</f>
        <v>3.9538571981209731</v>
      </c>
    </row>
    <row r="12" spans="1:23" s="107" customFormat="1" ht="32.25" x14ac:dyDescent="0.25">
      <c r="A12" s="133"/>
      <c r="B12" s="108" t="s">
        <v>559</v>
      </c>
      <c r="C12" s="109">
        <f>0.0245*(1/3.6)*ParametersCalculation!$B$16*C9</f>
        <v>0.17123184749999998</v>
      </c>
      <c r="D12" s="109">
        <f>0.0245*(1/3.6)*ParametersCalculation!$B$16*D9</f>
        <v>0.1716762448333333</v>
      </c>
      <c r="E12" s="109">
        <f>0.0245*(1/3.6)*ParametersCalculation!$B$16*E9</f>
        <v>0.17212064216666664</v>
      </c>
      <c r="F12" s="109">
        <f>0.0245*(1/3.6)*ParametersCalculation!$B$16*F9</f>
        <v>0.17256503949999999</v>
      </c>
      <c r="G12" s="109">
        <f>0.0245*(1/3.6)*ParametersCalculation!$B$16*G9</f>
        <v>0.17300943683333328</v>
      </c>
      <c r="H12" s="109">
        <f>0.0245*(1/3.6)*ParametersCalculation!$B$16*H9</f>
        <v>0.17345383416666663</v>
      </c>
      <c r="I12" s="109">
        <f>0.0245*(1/3.6)*ParametersCalculation!$B$16*I9</f>
        <v>0.17389823149999994</v>
      </c>
      <c r="J12" s="109">
        <f>0.0245*(1/3.6)*ParametersCalculation!$B$16*J9</f>
        <v>0.17434262883333329</v>
      </c>
      <c r="K12" s="109">
        <f>0.0245*(1/3.6)*ParametersCalculation!$B$16*K9</f>
        <v>0.17478702616666664</v>
      </c>
      <c r="L12" s="109">
        <f>0.0245*(1/3.6)*ParametersCalculation!$B$16*L9</f>
        <v>0.17523142349999996</v>
      </c>
      <c r="M12" s="109">
        <f>0.0245*(1/3.6)*ParametersCalculation!$B$16*M9</f>
        <v>0.1756758208333333</v>
      </c>
      <c r="N12" s="109">
        <f>0.0245*(1/3.6)*ParametersCalculation!$B$16*N9</f>
        <v>0.17612021816666662</v>
      </c>
      <c r="O12" s="109">
        <f>0.0245*(1/3.6)*ParametersCalculation!$B$16*O9</f>
        <v>0.17656461549999997</v>
      </c>
      <c r="P12" s="109">
        <f>0.0245*(1/3.6)*ParametersCalculation!$B$16*P9</f>
        <v>0.17700901283333328</v>
      </c>
      <c r="Q12" s="109">
        <f>0.0245*(1/3.6)*ParametersCalculation!$B$16*Q9</f>
        <v>0.17745341016666663</v>
      </c>
      <c r="R12" s="109">
        <f>0.0245*(1/3.6)*ParametersCalculation!$B$16*R9</f>
        <v>0.17789780749999998</v>
      </c>
      <c r="S12" s="109">
        <f>0.0245*(1/3.6)*ParametersCalculation!$B$16*S9</f>
        <v>0.1783422048333333</v>
      </c>
      <c r="T12" s="109">
        <f>0.0245*(1/3.6)*ParametersCalculation!$B$16*T9</f>
        <v>0.17878660216666664</v>
      </c>
      <c r="U12" s="109">
        <f>0.0245*(1/3.6)*ParametersCalculation!$B$16*U9</f>
        <v>0.17923099949999996</v>
      </c>
      <c r="V12" s="109">
        <f>0.0245*(1/3.6)*ParametersCalculation!$B$16*V9</f>
        <v>0.17967539683333331</v>
      </c>
      <c r="W12" s="109">
        <f>0.0245*(1/3.6)*ParametersCalculation!$B$16*W9</f>
        <v>0.18011979416666665</v>
      </c>
    </row>
    <row r="13" spans="1:23" s="107" customFormat="1" ht="30" x14ac:dyDescent="0.25">
      <c r="A13" s="133"/>
      <c r="B13" s="108" t="s">
        <v>553</v>
      </c>
      <c r="C13" s="109">
        <f>ParametersCalculation!B34+ParametersCalculation!B39</f>
        <v>0.52495828741838257</v>
      </c>
      <c r="D13" s="109">
        <f>D9*ParametersCalculation!$B$14*D8*GasesProperties!$B$5+ParametersCalculation!$B$39</f>
        <v>0.52844313868878257</v>
      </c>
      <c r="E13" s="109">
        <f>E9*ParametersCalculation!$B$14*E8*GasesProperties!$B$5+ParametersCalculation!$B$39</f>
        <v>0.53194557633998263</v>
      </c>
      <c r="F13" s="109">
        <f>F9*ParametersCalculation!$B$14*F8*GasesProperties!$B$5+ParametersCalculation!$B$39</f>
        <v>0.53546560037198254</v>
      </c>
      <c r="G13" s="109">
        <f>G9*ParametersCalculation!$B$14*G8*GasesProperties!$B$5+ParametersCalculation!$B$39</f>
        <v>0.53900321078478264</v>
      </c>
      <c r="H13" s="109">
        <f>H9*ParametersCalculation!$B$14*H8*GasesProperties!$B$5+ParametersCalculation!$B$39</f>
        <v>0.54255840757838258</v>
      </c>
      <c r="I13" s="109">
        <f>I9*ParametersCalculation!$B$14*I8*GasesProperties!$B$5+ParametersCalculation!$B$39</f>
        <v>0.5461311907527826</v>
      </c>
      <c r="J13" s="109">
        <f>J9*ParametersCalculation!$B$14*J8*GasesProperties!$B$5+ParametersCalculation!$B$39</f>
        <v>0.54972156030798258</v>
      </c>
      <c r="K13" s="109">
        <f>K9*ParametersCalculation!$B$14*K8*GasesProperties!$B$5+ParametersCalculation!$B$39</f>
        <v>0.55332951624398263</v>
      </c>
      <c r="L13" s="109">
        <f>L9*ParametersCalculation!$B$14*L8*GasesProperties!$B$5+ParametersCalculation!$B$39</f>
        <v>0.55695505856078253</v>
      </c>
      <c r="M13" s="109">
        <f>M9*ParametersCalculation!$B$14*M8*GasesProperties!$B$5+ParametersCalculation!$B$39</f>
        <v>0.56059818725838262</v>
      </c>
      <c r="N13" s="109">
        <f>N9*ParametersCalculation!$B$14*N8*GasesProperties!$B$5+ParametersCalculation!$B$39</f>
        <v>0.56425890233678255</v>
      </c>
      <c r="O13" s="109">
        <f>O9*ParametersCalculation!$B$14*O8*GasesProperties!$B$5+ParametersCalculation!$B$39</f>
        <v>0.56793720379598256</v>
      </c>
      <c r="P13" s="109">
        <f>P9*ParametersCalculation!$B$14*P8*GasesProperties!$B$5+ParametersCalculation!$B$39</f>
        <v>0.57163309163598264</v>
      </c>
      <c r="Q13" s="109">
        <f>Q9*ParametersCalculation!$B$14*Q8*GasesProperties!$B$5+ParametersCalculation!$B$39</f>
        <v>0.57534656585678257</v>
      </c>
      <c r="R13" s="109">
        <f>R9*ParametersCalculation!$B$14*R8*GasesProperties!$B$5+ParametersCalculation!$B$39</f>
        <v>0.57907762645838257</v>
      </c>
      <c r="S13" s="109">
        <f>S9*ParametersCalculation!$B$14*S8*GasesProperties!$B$5+ParametersCalculation!$B$39</f>
        <v>0.58282627344078264</v>
      </c>
      <c r="T13" s="109">
        <f>T9*ParametersCalculation!$B$14*T8*GasesProperties!$B$5+ParametersCalculation!$B$39</f>
        <v>0.58659250680398256</v>
      </c>
      <c r="U13" s="109">
        <f>U9*ParametersCalculation!$B$14*U8*GasesProperties!$B$5+ParametersCalculation!$B$39</f>
        <v>0.59037632654798256</v>
      </c>
      <c r="V13" s="109">
        <f>V9*ParametersCalculation!$B$14*V8*GasesProperties!$B$5+ParametersCalculation!$B$39</f>
        <v>0.59417773267278262</v>
      </c>
      <c r="W13" s="109">
        <f>W9*ParametersCalculation!$B$14*W8*GasesProperties!$B$5+ParametersCalculation!$B$39</f>
        <v>0.59799672517838265</v>
      </c>
    </row>
    <row r="14" spans="1:23" s="107" customFormat="1" ht="30" x14ac:dyDescent="0.25">
      <c r="A14" s="133"/>
      <c r="B14" s="108" t="s">
        <v>554</v>
      </c>
      <c r="C14" s="109">
        <f>ParametersCalculation!B35</f>
        <v>1.612527264E-2</v>
      </c>
      <c r="D14" s="109">
        <f>D9*ParametersCalculation!$B$13*D8*GasesProperties!$B$4</f>
        <v>1.7783834745599997E-2</v>
      </c>
      <c r="E14" s="109">
        <f>E9*ParametersCalculation!$B$13*E8*GasesProperties!$B$4</f>
        <v>1.9450766822399997E-2</v>
      </c>
      <c r="F14" s="109">
        <f>F9*ParametersCalculation!$B$13*F8*GasesProperties!$B$4</f>
        <v>2.1126068870400003E-2</v>
      </c>
      <c r="G14" s="109">
        <f>G9*ParametersCalculation!$B$13*G8*GasesProperties!$B$4</f>
        <v>2.28097408896E-2</v>
      </c>
      <c r="H14" s="109">
        <f>H9*ParametersCalculation!$B$13*H8*GasesProperties!$B$4</f>
        <v>2.4501782879999996E-2</v>
      </c>
      <c r="I14" s="109">
        <f>I9*ParametersCalculation!$B$13*I8*GasesProperties!$B$4</f>
        <v>2.6202194841599993E-2</v>
      </c>
      <c r="J14" s="109">
        <f>J9*ParametersCalculation!$B$13*J8*GasesProperties!$B$4</f>
        <v>2.7910976774399996E-2</v>
      </c>
      <c r="K14" s="109">
        <f>K9*ParametersCalculation!$B$13*K8*GasesProperties!$B$4</f>
        <v>2.9628128678399999E-2</v>
      </c>
      <c r="L14" s="109">
        <f>L9*ParametersCalculation!$B$13*L8*GasesProperties!$B$4</f>
        <v>3.1353650553599996E-2</v>
      </c>
      <c r="M14" s="109">
        <f>M9*ParametersCalculation!$B$13*M8*GasesProperties!$B$4</f>
        <v>3.3087542399999996E-2</v>
      </c>
      <c r="N14" s="109">
        <f>N9*ParametersCalculation!$B$13*N8*GasesProperties!$B$4</f>
        <v>3.4829804217599999E-2</v>
      </c>
      <c r="O14" s="109">
        <f>O9*ParametersCalculation!$B$13*O8*GasesProperties!$B$4</f>
        <v>3.6580436006399999E-2</v>
      </c>
      <c r="P14" s="109">
        <f>P9*ParametersCalculation!$B$13*P8*GasesProperties!$B$4</f>
        <v>3.8339437766399989E-2</v>
      </c>
      <c r="Q14" s="109">
        <f>Q9*ParametersCalculation!$B$13*Q8*GasesProperties!$B$4</f>
        <v>4.0106809497599989E-2</v>
      </c>
      <c r="R14" s="109">
        <f>R9*ParametersCalculation!$B$13*R8*GasesProperties!$B$4</f>
        <v>4.18825512E-2</v>
      </c>
      <c r="S14" s="109">
        <f>S9*ParametersCalculation!$B$13*S8*GasesProperties!$B$4</f>
        <v>4.36666628736E-2</v>
      </c>
      <c r="T14" s="109">
        <f>T9*ParametersCalculation!$B$13*T8*GasesProperties!$B$4</f>
        <v>4.5459144518399996E-2</v>
      </c>
      <c r="U14" s="109">
        <f>U9*ParametersCalculation!$B$13*U8*GasesProperties!$B$4</f>
        <v>4.725999613439999E-2</v>
      </c>
      <c r="V14" s="109">
        <f>V9*ParametersCalculation!$B$13*V8*GasesProperties!$B$4</f>
        <v>4.9069217721599993E-2</v>
      </c>
      <c r="W14" s="109">
        <f>W9*ParametersCalculation!$B$13*W8*GasesProperties!$B$4</f>
        <v>5.088680928E-2</v>
      </c>
    </row>
    <row r="15" spans="1:23" s="107" customFormat="1" ht="30" x14ac:dyDescent="0.25">
      <c r="A15" s="134"/>
      <c r="B15" s="108" t="s">
        <v>556</v>
      </c>
      <c r="C15" s="109">
        <f t="shared" ref="C15:W15" si="11">C10*44/12</f>
        <v>2.4445550475000002</v>
      </c>
      <c r="D15" s="109">
        <f t="shared" si="11"/>
        <v>2.4508993914999997</v>
      </c>
      <c r="E15" s="109">
        <f t="shared" si="11"/>
        <v>2.4572437354999996</v>
      </c>
      <c r="F15" s="109">
        <f t="shared" si="11"/>
        <v>2.4635880795</v>
      </c>
      <c r="G15" s="109">
        <f t="shared" si="11"/>
        <v>2.4699324235</v>
      </c>
      <c r="H15" s="109">
        <f t="shared" si="11"/>
        <v>2.4762767675000004</v>
      </c>
      <c r="I15" s="109">
        <f t="shared" si="11"/>
        <v>2.4826211114999999</v>
      </c>
      <c r="J15" s="109">
        <f t="shared" si="11"/>
        <v>2.4889654555000003</v>
      </c>
      <c r="K15" s="109">
        <f t="shared" si="11"/>
        <v>2.4953097994999998</v>
      </c>
      <c r="L15" s="109">
        <f t="shared" si="11"/>
        <v>2.5016541435000001</v>
      </c>
      <c r="M15" s="109">
        <f t="shared" si="11"/>
        <v>2.5079984875000001</v>
      </c>
      <c r="N15" s="109">
        <f t="shared" si="11"/>
        <v>2.5143428315</v>
      </c>
      <c r="O15" s="109">
        <f t="shared" si="11"/>
        <v>2.5206871755</v>
      </c>
      <c r="P15" s="109">
        <f t="shared" si="11"/>
        <v>2.5270315194999995</v>
      </c>
      <c r="Q15" s="109">
        <f t="shared" si="11"/>
        <v>2.5333758634999999</v>
      </c>
      <c r="R15" s="109">
        <f t="shared" si="11"/>
        <v>2.5397202074999998</v>
      </c>
      <c r="S15" s="109">
        <f t="shared" si="11"/>
        <v>2.5460645515000002</v>
      </c>
      <c r="T15" s="109">
        <f t="shared" si="11"/>
        <v>2.5524088954999997</v>
      </c>
      <c r="U15" s="109">
        <f t="shared" si="11"/>
        <v>2.5587532395000001</v>
      </c>
      <c r="V15" s="109">
        <f t="shared" si="11"/>
        <v>2.5650975834999996</v>
      </c>
      <c r="W15" s="109">
        <f t="shared" si="11"/>
        <v>2.5714419275</v>
      </c>
    </row>
    <row r="16" spans="1:23" x14ac:dyDescent="0.25">
      <c r="A16" s="132" t="s">
        <v>67</v>
      </c>
      <c r="B16" s="108" t="s">
        <v>557</v>
      </c>
      <c r="C16" s="109">
        <f>C9/ParametersCalculation!$C$15</f>
        <v>25.588456959356876</v>
      </c>
      <c r="D16" s="109">
        <f>D9/ParametersCalculation!$C$15</f>
        <v>25.65486658001376</v>
      </c>
      <c r="E16" s="109">
        <f>E9/ParametersCalculation!$C$15</f>
        <v>25.721276200670648</v>
      </c>
      <c r="F16" s="109">
        <f>F9/ParametersCalculation!$C$15</f>
        <v>25.787685821327536</v>
      </c>
      <c r="G16" s="109">
        <f>G9/ParametersCalculation!$C$15</f>
        <v>25.85409544198442</v>
      </c>
      <c r="H16" s="109">
        <f>H9/ParametersCalculation!$C$15</f>
        <v>25.920505062641311</v>
      </c>
      <c r="I16" s="109">
        <f>I9/ParametersCalculation!$C$15</f>
        <v>25.986914683298195</v>
      </c>
      <c r="J16" s="109">
        <f>J9/ParametersCalculation!$C$15</f>
        <v>26.053324303955083</v>
      </c>
      <c r="K16" s="109">
        <f>K9/ParametersCalculation!$C$15</f>
        <v>26.119733924611975</v>
      </c>
      <c r="L16" s="109">
        <f>L9/ParametersCalculation!$C$15</f>
        <v>26.186143545268859</v>
      </c>
      <c r="M16" s="109">
        <f>M9/ParametersCalculation!$C$15</f>
        <v>26.252553165925747</v>
      </c>
      <c r="N16" s="109">
        <f>N9/ParametersCalculation!$C$15</f>
        <v>26.318962786582631</v>
      </c>
      <c r="O16" s="109">
        <f>O9/ParametersCalculation!$C$15</f>
        <v>26.385372407239522</v>
      </c>
      <c r="P16" s="109">
        <f>P9/ParametersCalculation!$C$15</f>
        <v>26.451782027896407</v>
      </c>
      <c r="Q16" s="109">
        <f>Q9/ParametersCalculation!$C$15</f>
        <v>26.518191648553294</v>
      </c>
      <c r="R16" s="109">
        <f>R9/ParametersCalculation!$C$15</f>
        <v>26.584601269210182</v>
      </c>
      <c r="S16" s="109">
        <f>S9/ParametersCalculation!$C$15</f>
        <v>26.65101088986707</v>
      </c>
      <c r="T16" s="109">
        <f>T9/ParametersCalculation!$C$15</f>
        <v>26.717420510523958</v>
      </c>
      <c r="U16" s="109">
        <f>U9/ParametersCalculation!$C$15</f>
        <v>26.783830131180842</v>
      </c>
      <c r="V16" s="109">
        <f>V9/ParametersCalculation!$C$15</f>
        <v>26.85023975183773</v>
      </c>
      <c r="W16" s="109">
        <f>W9/ParametersCalculation!$C$15</f>
        <v>26.916649372494621</v>
      </c>
    </row>
    <row r="17" spans="1:23" ht="32.25" x14ac:dyDescent="0.25">
      <c r="A17" s="133"/>
      <c r="B17" s="108" t="s">
        <v>559</v>
      </c>
      <c r="C17" s="109">
        <f>0.0182*(1/3.6)*ParametersCalculation!$C$16*C9</f>
        <v>0.127200801</v>
      </c>
      <c r="D17" s="109">
        <f>0.0182*(1/3.6)*ParametersCalculation!$C$16*D9</f>
        <v>0.1275309247333333</v>
      </c>
      <c r="E17" s="109">
        <f>0.0182*(1/3.6)*ParametersCalculation!$C$16*E9</f>
        <v>0.12786104846666665</v>
      </c>
      <c r="F17" s="109">
        <f>0.0182*(1/3.6)*ParametersCalculation!$C$16*F9</f>
        <v>0.12819117220000001</v>
      </c>
      <c r="G17" s="109">
        <f>0.0182*(1/3.6)*ParametersCalculation!$C$16*G9</f>
        <v>0.12852129593333331</v>
      </c>
      <c r="H17" s="109">
        <f>0.0182*(1/3.6)*ParametersCalculation!$C$16*H9</f>
        <v>0.12885141966666666</v>
      </c>
      <c r="I17" s="109">
        <f>0.0182*(1/3.6)*ParametersCalculation!$C$16*I9</f>
        <v>0.12918154339999999</v>
      </c>
      <c r="J17" s="109">
        <f>0.0182*(1/3.6)*ParametersCalculation!$C$16*J9</f>
        <v>0.12951166713333331</v>
      </c>
      <c r="K17" s="109">
        <f>0.0182*(1/3.6)*ParametersCalculation!$C$16*K9</f>
        <v>0.12984179086666667</v>
      </c>
      <c r="L17" s="109">
        <f>0.0182*(1/3.6)*ParametersCalculation!$C$16*L9</f>
        <v>0.13017191459999999</v>
      </c>
      <c r="M17" s="109">
        <f>0.0182*(1/3.6)*ParametersCalculation!$C$16*M9</f>
        <v>0.13050203833333332</v>
      </c>
      <c r="N17" s="109">
        <f>0.0182*(1/3.6)*ParametersCalculation!$C$16*N9</f>
        <v>0.13083216206666665</v>
      </c>
      <c r="O17" s="109">
        <f>0.0182*(1/3.6)*ParametersCalculation!$C$16*O9</f>
        <v>0.1311622858</v>
      </c>
      <c r="P17" s="109">
        <f>0.0182*(1/3.6)*ParametersCalculation!$C$16*P9</f>
        <v>0.1314924095333333</v>
      </c>
      <c r="Q17" s="109">
        <f>0.0182*(1/3.6)*ParametersCalculation!$C$16*Q9</f>
        <v>0.13182253326666665</v>
      </c>
      <c r="R17" s="109">
        <f>0.0182*(1/3.6)*ParametersCalculation!$C$16*R9</f>
        <v>0.13215265700000001</v>
      </c>
      <c r="S17" s="109">
        <f>0.0182*(1/3.6)*ParametersCalculation!$C$16*S9</f>
        <v>0.13248278073333331</v>
      </c>
      <c r="T17" s="109">
        <f>0.0182*(1/3.6)*ParametersCalculation!$C$16*T9</f>
        <v>0.13281290446666666</v>
      </c>
      <c r="U17" s="109">
        <f>0.0182*(1/3.6)*ParametersCalculation!$C$16*U9</f>
        <v>0.13314302819999999</v>
      </c>
      <c r="V17" s="109">
        <f>0.0182*(1/3.6)*ParametersCalculation!$C$16*V9</f>
        <v>0.13347315193333331</v>
      </c>
      <c r="W17" s="109">
        <f>0.0182*(1/3.6)*ParametersCalculation!$C$16*W9</f>
        <v>0.13380327566666667</v>
      </c>
    </row>
    <row r="18" spans="1:23" ht="30" x14ac:dyDescent="0.25">
      <c r="A18" s="133"/>
      <c r="B18" s="108" t="s">
        <v>553</v>
      </c>
      <c r="C18" s="109">
        <f>C9*ParametersCalculation!$C$14*C8*GasesProperties!$B$5+ParametersCalculation!$C$39</f>
        <v>0.52495828741838257</v>
      </c>
      <c r="D18" s="109">
        <f>D9*ParametersCalculation!$C$14*D8*GasesProperties!$B$5+ParametersCalculation!$C$39</f>
        <v>0.52844313868878257</v>
      </c>
      <c r="E18" s="109">
        <f>E9*ParametersCalculation!$C$14*E8*GasesProperties!$B$5+ParametersCalculation!$C$39</f>
        <v>0.53194557633998263</v>
      </c>
      <c r="F18" s="109">
        <f>F9*ParametersCalculation!$C$14*F8*GasesProperties!$B$5+ParametersCalculation!$C$39</f>
        <v>0.53546560037198254</v>
      </c>
      <c r="G18" s="109">
        <f>G9*ParametersCalculation!$C$14*G8*GasesProperties!$B$5+ParametersCalculation!$C$39</f>
        <v>0.53900321078478264</v>
      </c>
      <c r="H18" s="109">
        <f>H9*ParametersCalculation!$C$14*H8*GasesProperties!$B$5+ParametersCalculation!$C$39</f>
        <v>0.54255840757838258</v>
      </c>
      <c r="I18" s="109">
        <f>I9*ParametersCalculation!$C$14*I8*GasesProperties!$B$5+ParametersCalculation!$C$39</f>
        <v>0.5461311907527826</v>
      </c>
      <c r="J18" s="109">
        <f>J9*ParametersCalculation!$C$14*J8*GasesProperties!$B$5+ParametersCalculation!$C$39</f>
        <v>0.54972156030798258</v>
      </c>
      <c r="K18" s="109">
        <f>K9*ParametersCalculation!$C$14*K8*GasesProperties!$B$5+ParametersCalculation!$C$39</f>
        <v>0.55332951624398263</v>
      </c>
      <c r="L18" s="109">
        <f>L9*ParametersCalculation!$C$14*L8*GasesProperties!$B$5+ParametersCalculation!$C$39</f>
        <v>0.55695505856078253</v>
      </c>
      <c r="M18" s="109">
        <f>M9*ParametersCalculation!$C$14*M8*GasesProperties!$B$5+ParametersCalculation!$C$39</f>
        <v>0.56059818725838262</v>
      </c>
      <c r="N18" s="109">
        <f>N9*ParametersCalculation!$C$14*N8*GasesProperties!$B$5+ParametersCalculation!$C$39</f>
        <v>0.56425890233678255</v>
      </c>
      <c r="O18" s="109">
        <f>O9*ParametersCalculation!$C$14*O8*GasesProperties!$B$5+ParametersCalculation!$C$39</f>
        <v>0.56793720379598256</v>
      </c>
      <c r="P18" s="109">
        <f>P9*ParametersCalculation!$C$14*P8*GasesProperties!$B$5+ParametersCalculation!$C$39</f>
        <v>0.57163309163598264</v>
      </c>
      <c r="Q18" s="109">
        <f>Q9*ParametersCalculation!$C$14*Q8*GasesProperties!$B$5+ParametersCalculation!$C$39</f>
        <v>0.57534656585678257</v>
      </c>
      <c r="R18" s="109">
        <f>R9*ParametersCalculation!$C$14*R8*GasesProperties!$B$5+ParametersCalculation!$C$39</f>
        <v>0.57907762645838257</v>
      </c>
      <c r="S18" s="109">
        <f>S9*ParametersCalculation!$C$14*S8*GasesProperties!$B$5+ParametersCalculation!$C$39</f>
        <v>0.58282627344078264</v>
      </c>
      <c r="T18" s="109">
        <f>T9*ParametersCalculation!$C$14*T8*GasesProperties!$B$5+ParametersCalculation!$C$39</f>
        <v>0.58659250680398256</v>
      </c>
      <c r="U18" s="109">
        <f>U9*ParametersCalculation!$C$14*U8*GasesProperties!$B$5+ParametersCalculation!$C$39</f>
        <v>0.59037632654798256</v>
      </c>
      <c r="V18" s="109">
        <f>V9*ParametersCalculation!$C$14*V8*GasesProperties!$B$5+ParametersCalculation!$C$39</f>
        <v>0.59417773267278262</v>
      </c>
      <c r="W18" s="109">
        <f>W9*ParametersCalculation!$C$14*W8*GasesProperties!$B$5+ParametersCalculation!$C$39</f>
        <v>0.59799672517838265</v>
      </c>
    </row>
    <row r="19" spans="1:23" ht="30" x14ac:dyDescent="0.25">
      <c r="A19" s="133"/>
      <c r="B19" s="108" t="s">
        <v>554</v>
      </c>
      <c r="C19" s="109">
        <f>C9*ParametersCalculation!$C$13*C8*GasesProperties!$B$4</f>
        <v>1.612527264E-2</v>
      </c>
      <c r="D19" s="109">
        <f>D9*ParametersCalculation!$C$13*D8*GasesProperties!$B$4</f>
        <v>1.7783834745599997E-2</v>
      </c>
      <c r="E19" s="109">
        <f>E9*ParametersCalculation!$C$13*E8*GasesProperties!$B$4</f>
        <v>1.9450766822399997E-2</v>
      </c>
      <c r="F19" s="109">
        <f>F9*ParametersCalculation!$C$13*F8*GasesProperties!$B$4</f>
        <v>2.1126068870400003E-2</v>
      </c>
      <c r="G19" s="109">
        <f>G9*ParametersCalculation!$C$13*G8*GasesProperties!$B$4</f>
        <v>2.28097408896E-2</v>
      </c>
      <c r="H19" s="109">
        <f>H9*ParametersCalculation!$C$13*H8*GasesProperties!$B$4</f>
        <v>2.4501782879999996E-2</v>
      </c>
      <c r="I19" s="109">
        <f>I9*ParametersCalculation!$C$13*I8*GasesProperties!$B$4</f>
        <v>2.6202194841599993E-2</v>
      </c>
      <c r="J19" s="109">
        <f>J9*ParametersCalculation!$C$13*J8*GasesProperties!$B$4</f>
        <v>2.7910976774399996E-2</v>
      </c>
      <c r="K19" s="109">
        <f>K9*ParametersCalculation!$C$13*K8*GasesProperties!$B$4</f>
        <v>2.9628128678399999E-2</v>
      </c>
      <c r="L19" s="109">
        <f>L9*ParametersCalculation!$C$13*L8*GasesProperties!$B$4</f>
        <v>3.1353650553599996E-2</v>
      </c>
      <c r="M19" s="109">
        <f>M9*ParametersCalculation!$C$13*M8*GasesProperties!$B$4</f>
        <v>3.3087542399999996E-2</v>
      </c>
      <c r="N19" s="109">
        <f>N9*ParametersCalculation!$C$13*N8*GasesProperties!$B$4</f>
        <v>3.4829804217599999E-2</v>
      </c>
      <c r="O19" s="109">
        <f>O9*ParametersCalculation!$C$13*O8*GasesProperties!$B$4</f>
        <v>3.6580436006399999E-2</v>
      </c>
      <c r="P19" s="109">
        <f>P9*ParametersCalculation!$C$13*P8*GasesProperties!$B$4</f>
        <v>3.8339437766399989E-2</v>
      </c>
      <c r="Q19" s="109">
        <f>Q9*ParametersCalculation!$C$13*Q8*GasesProperties!$B$4</f>
        <v>4.0106809497599989E-2</v>
      </c>
      <c r="R19" s="109">
        <f>R9*ParametersCalculation!$C$13*R8*GasesProperties!$B$4</f>
        <v>4.18825512E-2</v>
      </c>
      <c r="S19" s="109">
        <f>S9*ParametersCalculation!$C$13*S8*GasesProperties!$B$4</f>
        <v>4.36666628736E-2</v>
      </c>
      <c r="T19" s="109">
        <f>T9*ParametersCalculation!$C$13*T8*GasesProperties!$B$4</f>
        <v>4.5459144518399996E-2</v>
      </c>
      <c r="U19" s="109">
        <f>U9*ParametersCalculation!$C$13*U8*GasesProperties!$B$4</f>
        <v>4.725999613439999E-2</v>
      </c>
      <c r="V19" s="109">
        <f>V9*ParametersCalculation!$C$13*V8*GasesProperties!$B$4</f>
        <v>4.9069217721599993E-2</v>
      </c>
      <c r="W19" s="109">
        <f>W9*ParametersCalculation!$C$13*W8*GasesProperties!$B$4</f>
        <v>5.088680928E-2</v>
      </c>
    </row>
    <row r="20" spans="1:23" ht="30" x14ac:dyDescent="0.25">
      <c r="A20" s="134"/>
      <c r="B20" s="108" t="s">
        <v>556</v>
      </c>
      <c r="C20" s="109">
        <f>C10*44/12</f>
        <v>2.4445550475000002</v>
      </c>
      <c r="D20" s="109">
        <f t="shared" ref="D20:W20" si="12">D10*44/12</f>
        <v>2.4508993914999997</v>
      </c>
      <c r="E20" s="109">
        <f t="shared" si="12"/>
        <v>2.4572437354999996</v>
      </c>
      <c r="F20" s="109">
        <f t="shared" si="12"/>
        <v>2.4635880795</v>
      </c>
      <c r="G20" s="109">
        <f t="shared" si="12"/>
        <v>2.4699324235</v>
      </c>
      <c r="H20" s="109">
        <f t="shared" si="12"/>
        <v>2.4762767675000004</v>
      </c>
      <c r="I20" s="109">
        <f t="shared" si="12"/>
        <v>2.4826211114999999</v>
      </c>
      <c r="J20" s="109">
        <f t="shared" si="12"/>
        <v>2.4889654555000003</v>
      </c>
      <c r="K20" s="109">
        <f t="shared" si="12"/>
        <v>2.4953097994999998</v>
      </c>
      <c r="L20" s="109">
        <f t="shared" si="12"/>
        <v>2.5016541435000001</v>
      </c>
      <c r="M20" s="109">
        <f t="shared" si="12"/>
        <v>2.5079984875000001</v>
      </c>
      <c r="N20" s="109">
        <f t="shared" si="12"/>
        <v>2.5143428315</v>
      </c>
      <c r="O20" s="109">
        <f t="shared" si="12"/>
        <v>2.5206871755</v>
      </c>
      <c r="P20" s="109">
        <f t="shared" si="12"/>
        <v>2.5270315194999995</v>
      </c>
      <c r="Q20" s="109">
        <f t="shared" si="12"/>
        <v>2.5333758634999999</v>
      </c>
      <c r="R20" s="109">
        <f t="shared" si="12"/>
        <v>2.5397202074999998</v>
      </c>
      <c r="S20" s="109">
        <f t="shared" si="12"/>
        <v>2.5460645515000002</v>
      </c>
      <c r="T20" s="109">
        <f t="shared" si="12"/>
        <v>2.5524088954999997</v>
      </c>
      <c r="U20" s="109">
        <f t="shared" si="12"/>
        <v>2.5587532395000001</v>
      </c>
      <c r="V20" s="109">
        <f t="shared" si="12"/>
        <v>2.5650975834999996</v>
      </c>
      <c r="W20" s="109">
        <f t="shared" si="12"/>
        <v>2.5714419275</v>
      </c>
    </row>
    <row r="21" spans="1:23" x14ac:dyDescent="0.25">
      <c r="A21" s="133" t="s">
        <v>93</v>
      </c>
      <c r="B21" s="108" t="s">
        <v>557</v>
      </c>
      <c r="C21" s="109">
        <f>C9/ParametersCalculation!$G$15</f>
        <v>9.7488397270274927</v>
      </c>
      <c r="D21" s="109">
        <f>D9/ParametersCalculation!$G$15</f>
        <v>9.7741408520286992</v>
      </c>
      <c r="E21" s="109">
        <f>E9/ParametersCalculation!$G$15</f>
        <v>9.7994419770299057</v>
      </c>
      <c r="F21" s="109">
        <f>F9/ParametersCalculation!$G$15</f>
        <v>9.824743102031114</v>
      </c>
      <c r="G21" s="109">
        <f>G9/ParametersCalculation!$G$15</f>
        <v>9.8500442270323205</v>
      </c>
      <c r="H21" s="109">
        <f>H9/ParametersCalculation!$G$15</f>
        <v>9.875345352033527</v>
      </c>
      <c r="I21" s="109">
        <f>I9/ParametersCalculation!$G$15</f>
        <v>9.9006464770347336</v>
      </c>
      <c r="J21" s="109">
        <f>J9/ParametersCalculation!$G$15</f>
        <v>9.9259476020359401</v>
      </c>
      <c r="K21" s="109">
        <f>K9/ParametersCalculation!$G$15</f>
        <v>9.9512487270371484</v>
      </c>
      <c r="L21" s="109">
        <f>L9/ParametersCalculation!$G$15</f>
        <v>9.9765498520383531</v>
      </c>
      <c r="M21" s="109">
        <f>M9/ParametersCalculation!$G$15</f>
        <v>10.001850977039561</v>
      </c>
      <c r="N21" s="109">
        <f>N9/ParametersCalculation!$G$15</f>
        <v>10.027152102040768</v>
      </c>
      <c r="O21" s="109">
        <f>O9/ParametersCalculation!$G$15</f>
        <v>10.052453227041974</v>
      </c>
      <c r="P21" s="109">
        <f>P9/ParametersCalculation!$G$15</f>
        <v>10.077754352043181</v>
      </c>
      <c r="Q21" s="109">
        <f>Q9/ParametersCalculation!$G$15</f>
        <v>10.103055477044387</v>
      </c>
      <c r="R21" s="109">
        <f>R9/ParametersCalculation!$G$15</f>
        <v>10.128356602045596</v>
      </c>
      <c r="S21" s="109">
        <f>S9/ParametersCalculation!$G$15</f>
        <v>10.1536577270468</v>
      </c>
      <c r="T21" s="109">
        <f>T9/ParametersCalculation!$G$15</f>
        <v>10.178958852048009</v>
      </c>
      <c r="U21" s="109">
        <f>U9/ParametersCalculation!$G$15</f>
        <v>10.204259977049215</v>
      </c>
      <c r="V21" s="109">
        <f>V9/ParametersCalculation!$G$15</f>
        <v>10.229561102050422</v>
      </c>
      <c r="W21" s="109">
        <f>W9/ParametersCalculation!$G$15</f>
        <v>10.25486222705163</v>
      </c>
    </row>
    <row r="22" spans="1:23" ht="32.25" x14ac:dyDescent="0.25">
      <c r="A22" s="133"/>
      <c r="B22" s="108" t="s">
        <v>559</v>
      </c>
      <c r="C22" s="109">
        <f>0.0245*(1/3.6)*ParametersCalculation!$G$16*C9</f>
        <v>0.17123184749999998</v>
      </c>
      <c r="D22" s="109">
        <f>0.0245*(1/3.6)*ParametersCalculation!$G$16*D9</f>
        <v>0.1716762448333333</v>
      </c>
      <c r="E22" s="109">
        <f>0.0245*(1/3.6)*ParametersCalculation!$G$16*E9</f>
        <v>0.17212064216666664</v>
      </c>
      <c r="F22" s="109">
        <f>0.0245*(1/3.6)*ParametersCalculation!$G$16*F9</f>
        <v>0.17256503949999999</v>
      </c>
      <c r="G22" s="109">
        <f>0.0245*(1/3.6)*ParametersCalculation!$G$16*G9</f>
        <v>0.17300943683333328</v>
      </c>
      <c r="H22" s="109">
        <f>0.0245*(1/3.6)*ParametersCalculation!$G$16*H9</f>
        <v>0.17345383416666663</v>
      </c>
      <c r="I22" s="109">
        <f>0.0245*(1/3.6)*ParametersCalculation!$G$16*I9</f>
        <v>0.17389823149999994</v>
      </c>
      <c r="J22" s="109">
        <f>0.0245*(1/3.6)*ParametersCalculation!$G$16*J9</f>
        <v>0.17434262883333329</v>
      </c>
      <c r="K22" s="109">
        <f>0.0245*(1/3.6)*ParametersCalculation!$G$16*K9</f>
        <v>0.17478702616666664</v>
      </c>
      <c r="L22" s="109">
        <f>0.0245*(1/3.6)*ParametersCalculation!$G$16*L9</f>
        <v>0.17523142349999996</v>
      </c>
      <c r="M22" s="109">
        <f>0.0245*(1/3.6)*ParametersCalculation!$G$16*M9</f>
        <v>0.1756758208333333</v>
      </c>
      <c r="N22" s="109">
        <f>0.0245*(1/3.6)*ParametersCalculation!$G$16*N9</f>
        <v>0.17612021816666662</v>
      </c>
      <c r="O22" s="109">
        <f>0.0245*(1/3.6)*ParametersCalculation!$G$16*O9</f>
        <v>0.17656461549999997</v>
      </c>
      <c r="P22" s="109">
        <f>0.0245*(1/3.6)*ParametersCalculation!$G$16*P9</f>
        <v>0.17700901283333328</v>
      </c>
      <c r="Q22" s="109">
        <f>0.0245*(1/3.6)*ParametersCalculation!$G$16*Q9</f>
        <v>0.17745341016666663</v>
      </c>
      <c r="R22" s="109">
        <f>0.0245*(1/3.6)*ParametersCalculation!$G$16*R9</f>
        <v>0.17789780749999998</v>
      </c>
      <c r="S22" s="109">
        <f>0.0245*(1/3.6)*ParametersCalculation!$G$16*S9</f>
        <v>0.1783422048333333</v>
      </c>
      <c r="T22" s="109">
        <f>0.0245*(1/3.6)*ParametersCalculation!$G$16*T9</f>
        <v>0.17878660216666664</v>
      </c>
      <c r="U22" s="109">
        <f>0.0245*(1/3.6)*ParametersCalculation!$G$16*U9</f>
        <v>0.17923099949999996</v>
      </c>
      <c r="V22" s="109">
        <f>0.0245*(1/3.6)*ParametersCalculation!$G$16*V9</f>
        <v>0.17967539683333331</v>
      </c>
      <c r="W22" s="109">
        <f>0.0245*(1/3.6)*ParametersCalculation!$G$16*W9</f>
        <v>0.18011979416666665</v>
      </c>
    </row>
    <row r="23" spans="1:23" ht="30" x14ac:dyDescent="0.25">
      <c r="A23" s="133"/>
      <c r="B23" s="108" t="s">
        <v>553</v>
      </c>
      <c r="C23" s="109">
        <f>C9*ParametersCalculation!$G$14*C8*GasesProperties!$B$5+ParametersCalculation!$G$39</f>
        <v>0.52495828741838257</v>
      </c>
      <c r="D23" s="109">
        <f>D9*ParametersCalculation!$G$14*D8*GasesProperties!$B$5+ParametersCalculation!$G$39</f>
        <v>0.52844313868878257</v>
      </c>
      <c r="E23" s="109">
        <f>E9*ParametersCalculation!$G$14*E8*GasesProperties!$B$5+ParametersCalculation!$G$39</f>
        <v>0.53194557633998263</v>
      </c>
      <c r="F23" s="109">
        <f>F9*ParametersCalculation!$G$14*F8*GasesProperties!$B$5+ParametersCalculation!$G$39</f>
        <v>0.53546560037198254</v>
      </c>
      <c r="G23" s="109">
        <f>G9*ParametersCalculation!$G$14*G8*GasesProperties!$B$5+ParametersCalculation!$G$39</f>
        <v>0.53900321078478264</v>
      </c>
      <c r="H23" s="109">
        <f>H9*ParametersCalculation!$G$14*H8*GasesProperties!$B$5+ParametersCalculation!$G$39</f>
        <v>0.54255840757838258</v>
      </c>
      <c r="I23" s="109">
        <f>I9*ParametersCalculation!$G$14*I8*GasesProperties!$B$5+ParametersCalculation!$G$39</f>
        <v>0.5461311907527826</v>
      </c>
      <c r="J23" s="109">
        <f>J9*ParametersCalculation!$G$14*J8*GasesProperties!$B$5+ParametersCalculation!$G$39</f>
        <v>0.54972156030798258</v>
      </c>
      <c r="K23" s="109">
        <f>K9*ParametersCalculation!$G$14*K8*GasesProperties!$B$5+ParametersCalculation!$G$39</f>
        <v>0.55332951624398263</v>
      </c>
      <c r="L23" s="109">
        <f>L9*ParametersCalculation!$G$14*L8*GasesProperties!$B$5+ParametersCalculation!$G$39</f>
        <v>0.55695505856078253</v>
      </c>
      <c r="M23" s="109">
        <f>M9*ParametersCalculation!$G$14*M8*GasesProperties!$B$5+ParametersCalculation!$G$39</f>
        <v>0.56059818725838262</v>
      </c>
      <c r="N23" s="109">
        <f>N9*ParametersCalculation!$G$14*N8*GasesProperties!$B$5+ParametersCalculation!$G$39</f>
        <v>0.56425890233678255</v>
      </c>
      <c r="O23" s="109">
        <f>O9*ParametersCalculation!$G$14*O8*GasesProperties!$B$5+ParametersCalculation!$G$39</f>
        <v>0.56793720379598256</v>
      </c>
      <c r="P23" s="109">
        <f>P9*ParametersCalculation!$G$14*P8*GasesProperties!$B$5+ParametersCalculation!$G$39</f>
        <v>0.57163309163598264</v>
      </c>
      <c r="Q23" s="109">
        <f>Q9*ParametersCalculation!$G$14*Q8*GasesProperties!$B$5+ParametersCalculation!$G$39</f>
        <v>0.57534656585678257</v>
      </c>
      <c r="R23" s="109">
        <f>R9*ParametersCalculation!$G$14*R8*GasesProperties!$B$5+ParametersCalculation!$G$39</f>
        <v>0.57907762645838257</v>
      </c>
      <c r="S23" s="109">
        <f>S9*ParametersCalculation!$G$14*S8*GasesProperties!$B$5+ParametersCalculation!$G$39</f>
        <v>0.58282627344078264</v>
      </c>
      <c r="T23" s="109">
        <f>T9*ParametersCalculation!$G$14*T8*GasesProperties!$B$5+ParametersCalculation!$G$39</f>
        <v>0.58659250680398256</v>
      </c>
      <c r="U23" s="109">
        <f>U9*ParametersCalculation!$G$14*U8*GasesProperties!$B$5+ParametersCalculation!$G$39</f>
        <v>0.59037632654798256</v>
      </c>
      <c r="V23" s="109">
        <f>V9*ParametersCalculation!$G$14*V8*GasesProperties!$B$5+ParametersCalculation!$G$39</f>
        <v>0.59417773267278262</v>
      </c>
      <c r="W23" s="109">
        <f>W9*ParametersCalculation!$G$14*W8*GasesProperties!$B$5+ParametersCalculation!$G$39</f>
        <v>0.59799672517838265</v>
      </c>
    </row>
    <row r="24" spans="1:23" ht="30" x14ac:dyDescent="0.25">
      <c r="A24" s="133"/>
      <c r="B24" s="108" t="s">
        <v>554</v>
      </c>
      <c r="C24" s="109">
        <f>C9*ParametersCalculation!$G$13*C8*GasesProperties!$B$4</f>
        <v>1.612527264E-2</v>
      </c>
      <c r="D24" s="109">
        <f>D9*ParametersCalculation!$G$13*D8*GasesProperties!$B$4</f>
        <v>1.7783834745599997E-2</v>
      </c>
      <c r="E24" s="109">
        <f>E9*ParametersCalculation!$G$13*E8*GasesProperties!$B$4</f>
        <v>1.9450766822399997E-2</v>
      </c>
      <c r="F24" s="109">
        <f>F9*ParametersCalculation!$G$13*F8*GasesProperties!$B$4</f>
        <v>2.1126068870400003E-2</v>
      </c>
      <c r="G24" s="109">
        <f>G9*ParametersCalculation!$G$13*G8*GasesProperties!$B$4</f>
        <v>2.28097408896E-2</v>
      </c>
      <c r="H24" s="109">
        <f>H9*ParametersCalculation!$G$13*H8*GasesProperties!$B$4</f>
        <v>2.4501782879999996E-2</v>
      </c>
      <c r="I24" s="109">
        <f>I9*ParametersCalculation!$G$13*I8*GasesProperties!$B$4</f>
        <v>2.6202194841599993E-2</v>
      </c>
      <c r="J24" s="109">
        <f>J9*ParametersCalculation!$G$13*J8*GasesProperties!$B$4</f>
        <v>2.7910976774399996E-2</v>
      </c>
      <c r="K24" s="109">
        <f>K9*ParametersCalculation!$G$13*K8*GasesProperties!$B$4</f>
        <v>2.9628128678399999E-2</v>
      </c>
      <c r="L24" s="109">
        <f>L9*ParametersCalculation!$G$13*L8*GasesProperties!$B$4</f>
        <v>3.1353650553599996E-2</v>
      </c>
      <c r="M24" s="109">
        <f>M9*ParametersCalculation!$G$13*M8*GasesProperties!$B$4</f>
        <v>3.3087542399999996E-2</v>
      </c>
      <c r="N24" s="109">
        <f>N9*ParametersCalculation!$G$13*N8*GasesProperties!$B$4</f>
        <v>3.4829804217599999E-2</v>
      </c>
      <c r="O24" s="109">
        <f>O9*ParametersCalculation!$G$13*O8*GasesProperties!$B$4</f>
        <v>3.6580436006399999E-2</v>
      </c>
      <c r="P24" s="109">
        <f>P9*ParametersCalculation!$G$13*P8*GasesProperties!$B$4</f>
        <v>3.8339437766399989E-2</v>
      </c>
      <c r="Q24" s="109">
        <f>Q9*ParametersCalculation!$G$13*Q8*GasesProperties!$B$4</f>
        <v>4.0106809497599989E-2</v>
      </c>
      <c r="R24" s="109">
        <f>R9*ParametersCalculation!$G$13*R8*GasesProperties!$B$4</f>
        <v>4.18825512E-2</v>
      </c>
      <c r="S24" s="109">
        <f>S9*ParametersCalculation!$G$13*S8*GasesProperties!$B$4</f>
        <v>4.36666628736E-2</v>
      </c>
      <c r="T24" s="109">
        <f>T9*ParametersCalculation!$G$13*T8*GasesProperties!$B$4</f>
        <v>4.5459144518399996E-2</v>
      </c>
      <c r="U24" s="109">
        <f>U9*ParametersCalculation!$G$13*U8*GasesProperties!$B$4</f>
        <v>4.725999613439999E-2</v>
      </c>
      <c r="V24" s="109">
        <f>V9*ParametersCalculation!$G$13*V8*GasesProperties!$B$4</f>
        <v>4.9069217721599993E-2</v>
      </c>
      <c r="W24" s="109">
        <f>W9*ParametersCalculation!$G$13*W8*GasesProperties!$B$4</f>
        <v>5.088680928E-2</v>
      </c>
    </row>
    <row r="25" spans="1:23" ht="30" x14ac:dyDescent="0.25">
      <c r="A25" s="134"/>
      <c r="B25" s="108" t="s">
        <v>556</v>
      </c>
      <c r="C25" s="109">
        <f>C10*44/12</f>
        <v>2.4445550475000002</v>
      </c>
      <c r="D25" s="109">
        <f t="shared" ref="D25:W25" si="13">D10*44/12</f>
        <v>2.4508993914999997</v>
      </c>
      <c r="E25" s="109">
        <f t="shared" si="13"/>
        <v>2.4572437354999996</v>
      </c>
      <c r="F25" s="109">
        <f t="shared" si="13"/>
        <v>2.4635880795</v>
      </c>
      <c r="G25" s="109">
        <f t="shared" si="13"/>
        <v>2.4699324235</v>
      </c>
      <c r="H25" s="109">
        <f t="shared" si="13"/>
        <v>2.4762767675000004</v>
      </c>
      <c r="I25" s="109">
        <f t="shared" si="13"/>
        <v>2.4826211114999999</v>
      </c>
      <c r="J25" s="109">
        <f t="shared" si="13"/>
        <v>2.4889654555000003</v>
      </c>
      <c r="K25" s="109">
        <f t="shared" si="13"/>
        <v>2.4953097994999998</v>
      </c>
      <c r="L25" s="109">
        <f t="shared" si="13"/>
        <v>2.5016541435000001</v>
      </c>
      <c r="M25" s="109">
        <f t="shared" si="13"/>
        <v>2.5079984875000001</v>
      </c>
      <c r="N25" s="109">
        <f t="shared" si="13"/>
        <v>2.5143428315</v>
      </c>
      <c r="O25" s="109">
        <f t="shared" si="13"/>
        <v>2.5206871755</v>
      </c>
      <c r="P25" s="109">
        <f t="shared" si="13"/>
        <v>2.5270315194999995</v>
      </c>
      <c r="Q25" s="109">
        <f t="shared" si="13"/>
        <v>2.5333758634999999</v>
      </c>
      <c r="R25" s="109">
        <f t="shared" si="13"/>
        <v>2.5397202074999998</v>
      </c>
      <c r="S25" s="109">
        <f t="shared" si="13"/>
        <v>2.5460645515000002</v>
      </c>
      <c r="T25" s="109">
        <f t="shared" si="13"/>
        <v>2.5524088954999997</v>
      </c>
      <c r="U25" s="109">
        <f t="shared" si="13"/>
        <v>2.5587532395000001</v>
      </c>
      <c r="V25" s="109">
        <f t="shared" si="13"/>
        <v>2.5650975834999996</v>
      </c>
      <c r="W25" s="109">
        <f t="shared" si="13"/>
        <v>2.5714419275</v>
      </c>
    </row>
    <row r="27" spans="1:23" ht="18.75" x14ac:dyDescent="0.3">
      <c r="A27" s="43" t="s">
        <v>99</v>
      </c>
    </row>
    <row r="28" spans="1:23" x14ac:dyDescent="0.25">
      <c r="A28" s="102" t="s">
        <v>560</v>
      </c>
      <c r="B28" s="102" t="s">
        <v>210</v>
      </c>
      <c r="C28" s="105" t="s">
        <v>551</v>
      </c>
      <c r="D28" s="105">
        <v>1.1000000000000001</v>
      </c>
      <c r="E28" s="105">
        <v>1.2</v>
      </c>
      <c r="F28" s="105">
        <v>1.3</v>
      </c>
      <c r="G28" s="105">
        <v>1.4</v>
      </c>
      <c r="H28" s="105">
        <v>1.5</v>
      </c>
      <c r="I28" s="105">
        <v>1.6</v>
      </c>
      <c r="J28" s="105">
        <v>1.7</v>
      </c>
      <c r="K28" s="105">
        <v>1.8</v>
      </c>
      <c r="L28" s="105">
        <v>1.9</v>
      </c>
      <c r="M28" s="110">
        <v>2</v>
      </c>
      <c r="N28" s="105">
        <v>2.1</v>
      </c>
      <c r="O28" s="110">
        <v>2.2000000000000002</v>
      </c>
      <c r="P28" s="105">
        <v>2.2999999999999998</v>
      </c>
      <c r="Q28" s="110">
        <v>2.4</v>
      </c>
      <c r="R28" s="105">
        <v>2.5</v>
      </c>
      <c r="S28" s="110">
        <v>2.6</v>
      </c>
      <c r="T28" s="105">
        <v>2.7</v>
      </c>
      <c r="U28" s="110">
        <v>2.8</v>
      </c>
      <c r="V28" s="105">
        <v>2.9</v>
      </c>
      <c r="W28" s="110">
        <v>3</v>
      </c>
    </row>
    <row r="29" spans="1:23" x14ac:dyDescent="0.25">
      <c r="A29" s="130" t="s">
        <v>95</v>
      </c>
      <c r="B29" s="118" t="s">
        <v>105</v>
      </c>
      <c r="C29" s="119">
        <f>ParametersCalculation!B56</f>
        <v>0.02</v>
      </c>
      <c r="D29" s="119">
        <f>$C$29*D28</f>
        <v>2.2000000000000002E-2</v>
      </c>
      <c r="E29" s="119">
        <f t="shared" ref="E29:W29" si="14">$C$29*E28</f>
        <v>2.4E-2</v>
      </c>
      <c r="F29" s="119">
        <f t="shared" si="14"/>
        <v>2.6000000000000002E-2</v>
      </c>
      <c r="G29" s="119">
        <f t="shared" si="14"/>
        <v>2.7999999999999997E-2</v>
      </c>
      <c r="H29" s="119">
        <f t="shared" si="14"/>
        <v>0.03</v>
      </c>
      <c r="I29" s="119">
        <f t="shared" si="14"/>
        <v>3.2000000000000001E-2</v>
      </c>
      <c r="J29" s="119">
        <f t="shared" si="14"/>
        <v>3.4000000000000002E-2</v>
      </c>
      <c r="K29" s="119">
        <f t="shared" si="14"/>
        <v>3.6000000000000004E-2</v>
      </c>
      <c r="L29" s="119">
        <f t="shared" si="14"/>
        <v>3.7999999999999999E-2</v>
      </c>
      <c r="M29" s="119">
        <f t="shared" si="14"/>
        <v>0.04</v>
      </c>
      <c r="N29" s="119">
        <f t="shared" si="14"/>
        <v>4.2000000000000003E-2</v>
      </c>
      <c r="O29" s="119">
        <f t="shared" si="14"/>
        <v>4.4000000000000004E-2</v>
      </c>
      <c r="P29" s="119">
        <f t="shared" si="14"/>
        <v>4.5999999999999999E-2</v>
      </c>
      <c r="Q29" s="119">
        <f t="shared" si="14"/>
        <v>4.8000000000000001E-2</v>
      </c>
      <c r="R29" s="119">
        <f t="shared" si="14"/>
        <v>0.05</v>
      </c>
      <c r="S29" s="119">
        <f t="shared" si="14"/>
        <v>5.2000000000000005E-2</v>
      </c>
      <c r="T29" s="119">
        <f t="shared" si="14"/>
        <v>5.4000000000000006E-2</v>
      </c>
      <c r="U29" s="119">
        <f t="shared" si="14"/>
        <v>5.5999999999999994E-2</v>
      </c>
      <c r="V29" s="119">
        <f t="shared" si="14"/>
        <v>5.7999999999999996E-2</v>
      </c>
      <c r="W29" s="119">
        <f t="shared" si="14"/>
        <v>0.06</v>
      </c>
    </row>
    <row r="30" spans="1:23" ht="32.25" x14ac:dyDescent="0.25">
      <c r="A30" s="130"/>
      <c r="B30" s="114" t="s">
        <v>561</v>
      </c>
      <c r="C30" s="115">
        <f>ParametersCalculation!$B$55/ParametersCalculation!$B$49*(1+C29)</f>
        <v>1.7357894736842108</v>
      </c>
      <c r="D30" s="115">
        <f>ParametersCalculation!$B$55/ParametersCalculation!$B$49*(1+D29)</f>
        <v>1.7391929824561405</v>
      </c>
      <c r="E30" s="115">
        <f>ParametersCalculation!$B$55/ParametersCalculation!$B$49*(1+E29)</f>
        <v>1.7425964912280705</v>
      </c>
      <c r="F30" s="115">
        <f>ParametersCalculation!$B$55/ParametersCalculation!$B$49*(1+F29)</f>
        <v>1.7460000000000002</v>
      </c>
      <c r="G30" s="115">
        <f>ParametersCalculation!$B$55/ParametersCalculation!$B$49*(1+G29)</f>
        <v>1.74940350877193</v>
      </c>
      <c r="H30" s="115">
        <f>ParametersCalculation!$B$55/ParametersCalculation!$B$49*(1+H29)</f>
        <v>1.7528070175438599</v>
      </c>
      <c r="I30" s="115">
        <f>ParametersCalculation!$B$55/ParametersCalculation!$B$49*(1+I29)</f>
        <v>1.7562105263157897</v>
      </c>
      <c r="J30" s="115">
        <f>ParametersCalculation!$B$55/ParametersCalculation!$B$49*(1+J29)</f>
        <v>1.7596140350877196</v>
      </c>
      <c r="K30" s="115">
        <f>ParametersCalculation!$B$55/ParametersCalculation!$B$49*(1+K29)</f>
        <v>1.7630175438596494</v>
      </c>
      <c r="L30" s="115">
        <f>ParametersCalculation!$B$55/ParametersCalculation!$B$49*(1+L29)</f>
        <v>1.7664210526315791</v>
      </c>
      <c r="M30" s="115">
        <f>ParametersCalculation!$B$55/ParametersCalculation!$B$49*(1+M29)</f>
        <v>1.7698245614035091</v>
      </c>
      <c r="N30" s="115">
        <f>ParametersCalculation!$B$55/ParametersCalculation!$B$49*(1+N29)</f>
        <v>1.7732280701754388</v>
      </c>
      <c r="O30" s="115">
        <f>ParametersCalculation!$B$55/ParametersCalculation!$B$49*(1+O29)</f>
        <v>1.7766315789473688</v>
      </c>
      <c r="P30" s="115">
        <f>ParametersCalculation!$B$55/ParametersCalculation!$B$49*(1+P29)</f>
        <v>1.7800350877192985</v>
      </c>
      <c r="Q30" s="115">
        <f>ParametersCalculation!$B$55/ParametersCalculation!$B$49*(1+Q29)</f>
        <v>1.7834385964912283</v>
      </c>
      <c r="R30" s="115">
        <f>ParametersCalculation!$B$55/ParametersCalculation!$B$49*(1+R29)</f>
        <v>1.7868421052631582</v>
      </c>
      <c r="S30" s="115">
        <f>ParametersCalculation!$B$55/ParametersCalculation!$B$49*(1+S29)</f>
        <v>1.790245614035088</v>
      </c>
      <c r="T30" s="115">
        <f>ParametersCalculation!$B$55/ParametersCalculation!$B$49*(1+T29)</f>
        <v>1.7936491228070177</v>
      </c>
      <c r="U30" s="115">
        <f>ParametersCalculation!$B$55/ParametersCalculation!$B$49*(1+U29)</f>
        <v>1.7970526315789477</v>
      </c>
      <c r="V30" s="115">
        <f>ParametersCalculation!$B$55/ParametersCalculation!$B$49*(1+V29)</f>
        <v>1.8004561403508774</v>
      </c>
      <c r="W30" s="115">
        <f>ParametersCalculation!$B$55/ParametersCalculation!$B$49*(1+W29)</f>
        <v>1.8038596491228074</v>
      </c>
    </row>
    <row r="31" spans="1:23" ht="33.75" x14ac:dyDescent="0.25">
      <c r="A31" s="130"/>
      <c r="B31" s="114" t="s">
        <v>562</v>
      </c>
      <c r="C31" s="115">
        <f>MethaneLeakageRange!C30*ParametersCalculation!$B$49*MethaneLeakageRange!C29*GasesProperties!$B$4</f>
        <v>1.4187996E-2</v>
      </c>
      <c r="D31" s="115">
        <f>MethaneLeakageRange!D30*ParametersCalculation!$B$49*MethaneLeakageRange!D29*GasesProperties!$B$4</f>
        <v>1.563739716E-2</v>
      </c>
      <c r="E31" s="115">
        <f>MethaneLeakageRange!E30*ParametersCalculation!$B$49*MethaneLeakageRange!E29*GasesProperties!$B$4</f>
        <v>1.7092362239999999E-2</v>
      </c>
      <c r="F31" s="115">
        <f>MethaneLeakageRange!F30*ParametersCalculation!$B$49*MethaneLeakageRange!F29*GasesProperties!$B$4</f>
        <v>1.8552891240000001E-2</v>
      </c>
      <c r="G31" s="115">
        <f>MethaneLeakageRange!G30*ParametersCalculation!$B$49*MethaneLeakageRange!G29*GasesProperties!$B$4</f>
        <v>2.0018984159999996E-2</v>
      </c>
      <c r="H31" s="115">
        <f>MethaneLeakageRange!H30*ParametersCalculation!$B$49*MethaneLeakageRange!H29*GasesProperties!$B$4</f>
        <v>2.1490641000000001E-2</v>
      </c>
      <c r="I31" s="115">
        <f>MethaneLeakageRange!I30*ParametersCalculation!$B$49*MethaneLeakageRange!I29*GasesProperties!$B$4</f>
        <v>2.2967861759999996E-2</v>
      </c>
      <c r="J31" s="115">
        <f>MethaneLeakageRange!J30*ParametersCalculation!$B$49*MethaneLeakageRange!J29*GasesProperties!$B$4</f>
        <v>2.4450646440000008E-2</v>
      </c>
      <c r="K31" s="115">
        <f>MethaneLeakageRange!K30*ParametersCalculation!$B$49*MethaneLeakageRange!K29*GasesProperties!$B$4</f>
        <v>2.5938995040000003E-2</v>
      </c>
      <c r="L31" s="115">
        <f>MethaneLeakageRange!L30*ParametersCalculation!$B$49*MethaneLeakageRange!L29*GasesProperties!$B$4</f>
        <v>2.7432907560000004E-2</v>
      </c>
      <c r="M31" s="115">
        <f>MethaneLeakageRange!M30*ParametersCalculation!$B$49*MethaneLeakageRange!M29*GasesProperties!$B$4</f>
        <v>2.8932384000000002E-2</v>
      </c>
      <c r="N31" s="115">
        <f>MethaneLeakageRange!N30*ParametersCalculation!$B$49*MethaneLeakageRange!N29*GasesProperties!$B$4</f>
        <v>3.043742436E-2</v>
      </c>
      <c r="O31" s="115">
        <f>MethaneLeakageRange!O30*ParametersCalculation!$B$49*MethaneLeakageRange!O29*GasesProperties!$B$4</f>
        <v>3.1948028640000008E-2</v>
      </c>
      <c r="P31" s="115">
        <f>MethaneLeakageRange!P30*ParametersCalculation!$B$49*MethaneLeakageRange!P29*GasesProperties!$B$4</f>
        <v>3.3464196840000002E-2</v>
      </c>
      <c r="Q31" s="115">
        <f>MethaneLeakageRange!Q30*ParametersCalculation!$B$49*MethaneLeakageRange!Q29*GasesProperties!$B$4</f>
        <v>3.4985928960000003E-2</v>
      </c>
      <c r="R31" s="115">
        <f>MethaneLeakageRange!R30*ParametersCalculation!$B$49*MethaneLeakageRange!R29*GasesProperties!$B$4</f>
        <v>3.651322500000001E-2</v>
      </c>
      <c r="S31" s="115">
        <f>MethaneLeakageRange!S30*ParametersCalculation!$B$49*MethaneLeakageRange!S29*GasesProperties!$B$4</f>
        <v>3.8046084960000004E-2</v>
      </c>
      <c r="T31" s="115">
        <f>MethaneLeakageRange!T30*ParametersCalculation!$B$49*MethaneLeakageRange!T29*GasesProperties!$B$4</f>
        <v>3.9584508840000004E-2</v>
      </c>
      <c r="U31" s="115">
        <f>MethaneLeakageRange!U30*ParametersCalculation!$B$49*MethaneLeakageRange!U29*GasesProperties!$B$4</f>
        <v>4.1128496639999998E-2</v>
      </c>
      <c r="V31" s="115">
        <f>MethaneLeakageRange!V30*ParametersCalculation!$B$49*MethaneLeakageRange!V29*GasesProperties!$B$4</f>
        <v>4.2678048359999991E-2</v>
      </c>
      <c r="W31" s="115">
        <f>MethaneLeakageRange!W30*ParametersCalculation!$B$49*MethaneLeakageRange!W29*GasesProperties!$B$4</f>
        <v>4.4233164000000005E-2</v>
      </c>
    </row>
    <row r="32" spans="1:23" ht="33.75" x14ac:dyDescent="0.25">
      <c r="A32" s="130"/>
      <c r="B32" s="102" t="s">
        <v>563</v>
      </c>
      <c r="C32" s="115">
        <f>MethaneLeakageRange!C30*ParametersCalculation!$B$50*ParametersCalculation!$B$55*GasesProperties!$B$5</f>
        <v>1.4458235855789479</v>
      </c>
      <c r="D32" s="115">
        <f>MethaneLeakageRange!D30*ParametersCalculation!$B$50*ParametersCalculation!$B$55*GasesProperties!$B$5</f>
        <v>1.4486585337859654</v>
      </c>
      <c r="E32" s="115">
        <f>MethaneLeakageRange!E30*ParametersCalculation!$B$50*ParametersCalculation!$B$55*GasesProperties!$B$5</f>
        <v>1.451493481992983</v>
      </c>
      <c r="F32" s="115">
        <f>MethaneLeakageRange!F30*ParametersCalculation!$B$50*ParametersCalculation!$B$55*GasesProperties!$B$5</f>
        <v>1.4543284302000004</v>
      </c>
      <c r="G32" s="115">
        <f>MethaneLeakageRange!G30*ParametersCalculation!$B$50*ParametersCalculation!$B$55*GasesProperties!$B$5</f>
        <v>1.4571633784070182</v>
      </c>
      <c r="H32" s="115">
        <f>MethaneLeakageRange!H30*ParametersCalculation!$B$50*ParametersCalculation!$B$55*GasesProperties!$B$5</f>
        <v>1.4599983266140355</v>
      </c>
      <c r="I32" s="115">
        <f>MethaneLeakageRange!I30*ParametersCalculation!$B$50*ParametersCalculation!$B$55*GasesProperties!$B$5</f>
        <v>1.4628332748210531</v>
      </c>
      <c r="J32" s="115">
        <f>MethaneLeakageRange!J30*ParametersCalculation!$B$50*ParametersCalculation!$B$55*GasesProperties!$B$5</f>
        <v>1.4656682230280709</v>
      </c>
      <c r="K32" s="115">
        <f>MethaneLeakageRange!K30*ParametersCalculation!$B$50*ParametersCalculation!$B$55*GasesProperties!$B$5</f>
        <v>1.4685031712350882</v>
      </c>
      <c r="L32" s="115">
        <f>MethaneLeakageRange!L30*ParametersCalculation!$B$50*ParametersCalculation!$B$55*GasesProperties!$B$5</f>
        <v>1.4713381194421058</v>
      </c>
      <c r="M32" s="115">
        <f>MethaneLeakageRange!M30*ParametersCalculation!$B$50*ParametersCalculation!$B$55*GasesProperties!$B$5</f>
        <v>1.4741730676491236</v>
      </c>
      <c r="N32" s="115">
        <f>MethaneLeakageRange!N30*ParametersCalculation!$B$50*ParametersCalculation!$B$55*GasesProperties!$B$5</f>
        <v>1.4770080158561409</v>
      </c>
      <c r="O32" s="115">
        <f>MethaneLeakageRange!O30*ParametersCalculation!$B$50*ParametersCalculation!$B$55*GasesProperties!$B$5</f>
        <v>1.4798429640631585</v>
      </c>
      <c r="P32" s="115">
        <f>MethaneLeakageRange!P30*ParametersCalculation!$B$50*ParametersCalculation!$B$55*GasesProperties!$B$5</f>
        <v>1.4826779122701761</v>
      </c>
      <c r="Q32" s="115">
        <f>MethaneLeakageRange!Q30*ParametersCalculation!$B$50*ParametersCalculation!$B$55*GasesProperties!$B$5</f>
        <v>1.4855128604771937</v>
      </c>
      <c r="R32" s="115">
        <f>MethaneLeakageRange!R30*ParametersCalculation!$B$50*ParametersCalculation!$B$55*GasesProperties!$B$5</f>
        <v>1.4883478086842112</v>
      </c>
      <c r="S32" s="115">
        <f>MethaneLeakageRange!S30*ParametersCalculation!$B$50*ParametersCalculation!$B$55*GasesProperties!$B$5</f>
        <v>1.4911827568912288</v>
      </c>
      <c r="T32" s="115">
        <f>MethaneLeakageRange!T30*ParametersCalculation!$B$50*ParametersCalculation!$B$55*GasesProperties!$B$5</f>
        <v>1.4940177050982462</v>
      </c>
      <c r="U32" s="115">
        <f>MethaneLeakageRange!U30*ParametersCalculation!$B$50*ParametersCalculation!$B$55*GasesProperties!$B$5</f>
        <v>1.496852653305264</v>
      </c>
      <c r="V32" s="115">
        <f>MethaneLeakageRange!V30*ParametersCalculation!$B$50*ParametersCalculation!$B$55*GasesProperties!$B$5</f>
        <v>1.4996876015122813</v>
      </c>
      <c r="W32" s="115">
        <f>MethaneLeakageRange!W30*ParametersCalculation!$B$50*ParametersCalculation!$B$55*GasesProperties!$B$5</f>
        <v>1.5025225497192991</v>
      </c>
    </row>
    <row r="33" spans="1:23" ht="33.75" x14ac:dyDescent="0.25">
      <c r="A33" s="130"/>
      <c r="B33" s="102" t="s">
        <v>564</v>
      </c>
      <c r="C33" s="115">
        <f>MethaneLeakageRange!C30*ParametersCalculation!$B$50*MethaneLeakageRange!C29*GasesProperties!$B$5</f>
        <v>2.9810795578947384E-2</v>
      </c>
      <c r="D33" s="115">
        <f>MethaneLeakageRange!D30*ParametersCalculation!$B$50*MethaneLeakageRange!D29*GasesProperties!$B$5</f>
        <v>3.2856172931228084E-2</v>
      </c>
      <c r="E33" s="115">
        <f>MethaneLeakageRange!E30*ParametersCalculation!$B$50*MethaneLeakageRange!E29*GasesProperties!$B$5</f>
        <v>3.5913240791578968E-2</v>
      </c>
      <c r="F33" s="115">
        <f>MethaneLeakageRange!F30*ParametersCalculation!$B$50*MethaneLeakageRange!F29*GasesProperties!$B$5</f>
        <v>3.8981999160000017E-2</v>
      </c>
      <c r="G33" s="115">
        <f>MethaneLeakageRange!G30*ParametersCalculation!$B$50*MethaneLeakageRange!G29*GasesProperties!$B$5</f>
        <v>4.2062448036491243E-2</v>
      </c>
      <c r="H33" s="115">
        <f>MethaneLeakageRange!H30*ParametersCalculation!$B$50*MethaneLeakageRange!H29*GasesProperties!$B$5</f>
        <v>4.5154587421052647E-2</v>
      </c>
      <c r="I33" s="115">
        <f>MethaneLeakageRange!I30*ParametersCalculation!$B$50*MethaneLeakageRange!I29*GasesProperties!$B$5</f>
        <v>4.8258417313684229E-2</v>
      </c>
      <c r="J33" s="115">
        <f>MethaneLeakageRange!J30*ParametersCalculation!$B$50*MethaneLeakageRange!J29*GasesProperties!$B$5</f>
        <v>5.1373937714385996E-2</v>
      </c>
      <c r="K33" s="115">
        <f>MethaneLeakageRange!K30*ParametersCalculation!$B$50*MethaneLeakageRange!K29*GasesProperties!$B$5</f>
        <v>5.4501148623157927E-2</v>
      </c>
      <c r="L33" s="115">
        <f>MethaneLeakageRange!L30*ParametersCalculation!$B$50*MethaneLeakageRange!L29*GasesProperties!$B$5</f>
        <v>5.7640050040000029E-2</v>
      </c>
      <c r="M33" s="115">
        <f>MethaneLeakageRange!M30*ParametersCalculation!$B$50*MethaneLeakageRange!M29*GasesProperties!$B$5</f>
        <v>6.0790641964912309E-2</v>
      </c>
      <c r="N33" s="115">
        <f>MethaneLeakageRange!N30*ParametersCalculation!$B$50*MethaneLeakageRange!N29*GasesProperties!$B$5</f>
        <v>6.3952924397894767E-2</v>
      </c>
      <c r="O33" s="115">
        <f>MethaneLeakageRange!O30*ParametersCalculation!$B$50*MethaneLeakageRange!O29*GasesProperties!$B$5</f>
        <v>6.7126897338947403E-2</v>
      </c>
      <c r="P33" s="115">
        <f>MethaneLeakageRange!P30*ParametersCalculation!$B$50*MethaneLeakageRange!P29*GasesProperties!$B$5</f>
        <v>7.0312560788070216E-2</v>
      </c>
      <c r="Q33" s="115">
        <f>MethaneLeakageRange!Q30*ParametersCalculation!$B$50*MethaneLeakageRange!Q29*GasesProperties!$B$5</f>
        <v>7.3509914745263194E-2</v>
      </c>
      <c r="R33" s="115">
        <f>MethaneLeakageRange!R30*ParametersCalculation!$B$50*MethaneLeakageRange!R29*GasesProperties!$B$5</f>
        <v>7.6718959210526363E-2</v>
      </c>
      <c r="S33" s="115">
        <f>MethaneLeakageRange!S30*ParametersCalculation!$B$50*MethaneLeakageRange!S29*GasesProperties!$B$5</f>
        <v>7.9939694183859697E-2</v>
      </c>
      <c r="T33" s="115">
        <f>MethaneLeakageRange!T30*ParametersCalculation!$B$50*MethaneLeakageRange!T29*GasesProperties!$B$5</f>
        <v>8.3172119665263194E-2</v>
      </c>
      <c r="U33" s="115">
        <f>MethaneLeakageRange!U30*ParametersCalculation!$B$50*MethaneLeakageRange!U29*GasesProperties!$B$5</f>
        <v>8.641623565473687E-2</v>
      </c>
      <c r="V33" s="115">
        <f>MethaneLeakageRange!V30*ParametersCalculation!$B$50*MethaneLeakageRange!V29*GasesProperties!$B$5</f>
        <v>8.9672042152280737E-2</v>
      </c>
      <c r="W33" s="115">
        <f>MethaneLeakageRange!W30*ParametersCalculation!$B$50*MethaneLeakageRange!W29*GasesProperties!$B$5</f>
        <v>9.2939539157894782E-2</v>
      </c>
    </row>
    <row r="34" spans="1:23" ht="20.25" customHeight="1" x14ac:dyDescent="0.25">
      <c r="A34" s="130"/>
      <c r="B34" s="102" t="s">
        <v>565</v>
      </c>
      <c r="C34" s="115">
        <f>C32-C33</f>
        <v>1.4160127900000006</v>
      </c>
      <c r="D34" s="115">
        <f t="shared" ref="D34:W34" si="15">D32-D33</f>
        <v>1.4158023608547374</v>
      </c>
      <c r="E34" s="115">
        <f t="shared" si="15"/>
        <v>1.415580241201404</v>
      </c>
      <c r="F34" s="115">
        <f t="shared" si="15"/>
        <v>1.4153464310400004</v>
      </c>
      <c r="G34" s="115">
        <f t="shared" si="15"/>
        <v>1.4151009303705269</v>
      </c>
      <c r="H34" s="115">
        <f t="shared" si="15"/>
        <v>1.4148437391929829</v>
      </c>
      <c r="I34" s="115">
        <f t="shared" si="15"/>
        <v>1.4145748575073689</v>
      </c>
      <c r="J34" s="115">
        <f t="shared" si="15"/>
        <v>1.4142942853136848</v>
      </c>
      <c r="K34" s="115">
        <f t="shared" si="15"/>
        <v>1.4140020226119303</v>
      </c>
      <c r="L34" s="115">
        <f t="shared" si="15"/>
        <v>1.4136980694021057</v>
      </c>
      <c r="M34" s="115">
        <f t="shared" si="15"/>
        <v>1.4133824256842114</v>
      </c>
      <c r="N34" s="115">
        <f t="shared" si="15"/>
        <v>1.4130550914582463</v>
      </c>
      <c r="O34" s="115">
        <f t="shared" si="15"/>
        <v>1.4127160667242111</v>
      </c>
      <c r="P34" s="115">
        <f t="shared" si="15"/>
        <v>1.412365351482106</v>
      </c>
      <c r="Q34" s="115">
        <f t="shared" si="15"/>
        <v>1.4120029457319305</v>
      </c>
      <c r="R34" s="115">
        <f t="shared" si="15"/>
        <v>1.4116288494736848</v>
      </c>
      <c r="S34" s="115">
        <f t="shared" si="15"/>
        <v>1.4112430627073691</v>
      </c>
      <c r="T34" s="115">
        <f t="shared" si="15"/>
        <v>1.4108455854329829</v>
      </c>
      <c r="U34" s="115">
        <f t="shared" si="15"/>
        <v>1.4104364176505271</v>
      </c>
      <c r="V34" s="115">
        <f t="shared" si="15"/>
        <v>1.4100155593600006</v>
      </c>
      <c r="W34" s="115">
        <f t="shared" si="15"/>
        <v>1.4095830105614042</v>
      </c>
    </row>
    <row r="35" spans="1:23" ht="32.25" x14ac:dyDescent="0.25">
      <c r="A35" s="130"/>
      <c r="B35" s="114" t="s">
        <v>566</v>
      </c>
      <c r="C35" s="115">
        <f>ParametersCalculation!$B$67*MethaneLeakageRange!C30+ParametersCalculation!$B$68*ParametersCalculation!$B$57</f>
        <v>0.54645305263157906</v>
      </c>
      <c r="D35" s="115">
        <f>ParametersCalculation!$B$67*MethaneLeakageRange!D30+ParametersCalculation!$B$68*ParametersCalculation!$B$57</f>
        <v>0.54740603508771946</v>
      </c>
      <c r="E35" s="115">
        <f>ParametersCalculation!$B$67*MethaneLeakageRange!E30+ParametersCalculation!$B$68*ParametersCalculation!$B$57</f>
        <v>0.54835901754385974</v>
      </c>
      <c r="F35" s="115">
        <f>ParametersCalculation!$B$67*MethaneLeakageRange!F30+ParametersCalculation!$B$68*ParametersCalculation!$B$57</f>
        <v>0.54931200000000013</v>
      </c>
      <c r="G35" s="115">
        <f>ParametersCalculation!$B$67*MethaneLeakageRange!G30+ParametersCalculation!$B$68*ParametersCalculation!$B$57</f>
        <v>0.55026498245614042</v>
      </c>
      <c r="H35" s="115">
        <f>ParametersCalculation!$B$67*MethaneLeakageRange!H30+ParametersCalculation!$B$68*ParametersCalculation!$B$57</f>
        <v>0.55121796491228081</v>
      </c>
      <c r="I35" s="115">
        <f>ParametersCalculation!$B$67*MethaneLeakageRange!I30+ParametersCalculation!$B$68*ParametersCalculation!$B$57</f>
        <v>0.55217094736842121</v>
      </c>
      <c r="J35" s="115">
        <f>ParametersCalculation!$B$67*MethaneLeakageRange!J30+ParametersCalculation!$B$68*ParametersCalculation!$B$57</f>
        <v>0.5531239298245616</v>
      </c>
      <c r="K35" s="115">
        <f>ParametersCalculation!$B$67*MethaneLeakageRange!K30+ParametersCalculation!$B$68*ParametersCalculation!$B$57</f>
        <v>0.55407691228070188</v>
      </c>
      <c r="L35" s="115">
        <f>ParametersCalculation!$B$67*MethaneLeakageRange!L30+ParametersCalculation!$B$68*ParametersCalculation!$B$57</f>
        <v>0.55502989473684217</v>
      </c>
      <c r="M35" s="115">
        <f>ParametersCalculation!$B$67*MethaneLeakageRange!M30+ParametersCalculation!$B$68*ParametersCalculation!$B$57</f>
        <v>0.55598287719298256</v>
      </c>
      <c r="N35" s="115">
        <f>ParametersCalculation!$B$67*MethaneLeakageRange!N30+ParametersCalculation!$B$68*ParametersCalculation!$B$57</f>
        <v>0.55693585964912296</v>
      </c>
      <c r="O35" s="115">
        <f>ParametersCalculation!$B$67*MethaneLeakageRange!O30+ParametersCalculation!$B$68*ParametersCalculation!$B$57</f>
        <v>0.55788884210526335</v>
      </c>
      <c r="P35" s="115">
        <f>ParametersCalculation!$B$67*MethaneLeakageRange!P30+ParametersCalculation!$B$68*ParametersCalculation!$B$57</f>
        <v>0.55884182456140363</v>
      </c>
      <c r="Q35" s="115">
        <f>ParametersCalculation!$B$67*MethaneLeakageRange!Q30+ParametersCalculation!$B$68*ParametersCalculation!$B$57</f>
        <v>0.55979480701754403</v>
      </c>
      <c r="R35" s="115">
        <f>ParametersCalculation!$B$67*MethaneLeakageRange!R30+ParametersCalculation!$B$68*ParametersCalculation!$B$57</f>
        <v>0.56074778947368442</v>
      </c>
      <c r="S35" s="115">
        <f>ParametersCalculation!$B$67*MethaneLeakageRange!S30+ParametersCalculation!$B$68*ParametersCalculation!$B$57</f>
        <v>0.5617007719298247</v>
      </c>
      <c r="T35" s="115">
        <f>ParametersCalculation!$B$67*MethaneLeakageRange!T30+ParametersCalculation!$B$68*ParametersCalculation!$B$57</f>
        <v>0.5626537543859651</v>
      </c>
      <c r="U35" s="115">
        <f>ParametersCalculation!$B$67*MethaneLeakageRange!U30+ParametersCalculation!$B$68*ParametersCalculation!$B$57</f>
        <v>0.56360673684210549</v>
      </c>
      <c r="V35" s="115">
        <f>ParametersCalculation!$B$67*MethaneLeakageRange!V30+ParametersCalculation!$B$68*ParametersCalculation!$B$57</f>
        <v>0.56455971929824578</v>
      </c>
      <c r="W35" s="115">
        <f>ParametersCalculation!$B$67*MethaneLeakageRange!W30+ParametersCalculation!$B$68*ParametersCalculation!$B$57</f>
        <v>0.56551270175438617</v>
      </c>
    </row>
    <row r="36" spans="1:23" ht="32.25" x14ac:dyDescent="0.25">
      <c r="A36" s="130"/>
      <c r="B36" s="114" t="s">
        <v>567</v>
      </c>
      <c r="C36" s="115">
        <f>C35+MethaneLeakageRange!C34*ParametersCalculation!$B$69</f>
        <v>0.75319091997157916</v>
      </c>
      <c r="D36" s="115">
        <f>D35+MethaneLeakageRange!D34*ParametersCalculation!$B$69</f>
        <v>0.75411317977251113</v>
      </c>
      <c r="E36" s="115">
        <f>E35+MethaneLeakageRange!E34*ParametersCalculation!$B$69</f>
        <v>0.75503373275926466</v>
      </c>
      <c r="F36" s="115">
        <f>F35+MethaneLeakageRange!F34*ParametersCalculation!$B$69</f>
        <v>0.7559525789318402</v>
      </c>
      <c r="G36" s="115">
        <f>G35+MethaneLeakageRange!G34*ParametersCalculation!$B$69</f>
        <v>0.7568697182902373</v>
      </c>
      <c r="H36" s="115">
        <f>H35+MethaneLeakageRange!H34*ParametersCalculation!$B$69</f>
        <v>0.7577851508344563</v>
      </c>
      <c r="I36" s="115">
        <f>I35+MethaneLeakageRange!I34*ParametersCalculation!$B$69</f>
        <v>0.75869887656449708</v>
      </c>
      <c r="J36" s="115">
        <f>J35+MethaneLeakageRange!J34*ParametersCalculation!$B$69</f>
        <v>0.75961089548035954</v>
      </c>
      <c r="K36" s="115">
        <f>K35+MethaneLeakageRange!K34*ParametersCalculation!$B$69</f>
        <v>0.76052120758204367</v>
      </c>
      <c r="L36" s="115">
        <f>L35+MethaneLeakageRange!L34*ParametersCalculation!$B$69</f>
        <v>0.76142981286954958</v>
      </c>
      <c r="M36" s="115">
        <f>M35+MethaneLeakageRange!M34*ParametersCalculation!$B$69</f>
        <v>0.76233671134287739</v>
      </c>
      <c r="N36" s="115">
        <f>N35+MethaneLeakageRange!N34*ParametersCalculation!$B$69</f>
        <v>0.76324190300202688</v>
      </c>
      <c r="O36" s="115">
        <f>O35+MethaneLeakageRange!O34*ParametersCalculation!$B$69</f>
        <v>0.76414538784699815</v>
      </c>
      <c r="P36" s="115">
        <f>P35+MethaneLeakageRange!P34*ParametersCalculation!$B$69</f>
        <v>0.76504716587779109</v>
      </c>
      <c r="Q36" s="115">
        <f>Q35+MethaneLeakageRange!Q34*ParametersCalculation!$B$69</f>
        <v>0.76594723709440582</v>
      </c>
      <c r="R36" s="115">
        <f>R35+MethaneLeakageRange!R34*ParametersCalculation!$B$69</f>
        <v>0.76684560149684233</v>
      </c>
      <c r="S36" s="115">
        <f>S35+MethaneLeakageRange!S34*ParametersCalculation!$B$69</f>
        <v>0.76774225908510063</v>
      </c>
      <c r="T36" s="115">
        <f>T35+MethaneLeakageRange!T34*ParametersCalculation!$B$69</f>
        <v>0.7686372098591806</v>
      </c>
      <c r="U36" s="115">
        <f>U35+MethaneLeakageRange!U34*ParametersCalculation!$B$69</f>
        <v>0.76953045381908247</v>
      </c>
      <c r="V36" s="115">
        <f>V35+MethaneLeakageRange!V34*ParametersCalculation!$B$69</f>
        <v>0.77042199096480579</v>
      </c>
      <c r="W36" s="115">
        <f>W35+MethaneLeakageRange!W34*ParametersCalculation!$B$69</f>
        <v>0.77131182129635123</v>
      </c>
    </row>
    <row r="37" spans="1:23" ht="17.25" x14ac:dyDescent="0.25">
      <c r="A37" s="130"/>
      <c r="B37" s="114" t="s">
        <v>569</v>
      </c>
      <c r="C37" s="115">
        <f>0.1*C30</f>
        <v>0.17357894736842108</v>
      </c>
      <c r="D37" s="115">
        <f t="shared" ref="D37:W37" si="16">0.1*D30</f>
        <v>0.17391929824561406</v>
      </c>
      <c r="E37" s="115">
        <f t="shared" si="16"/>
        <v>0.17425964912280706</v>
      </c>
      <c r="F37" s="115">
        <f t="shared" si="16"/>
        <v>0.17460000000000003</v>
      </c>
      <c r="G37" s="115">
        <f t="shared" si="16"/>
        <v>0.17494035087719301</v>
      </c>
      <c r="H37" s="115">
        <f t="shared" si="16"/>
        <v>0.17528070175438601</v>
      </c>
      <c r="I37" s="115">
        <f t="shared" si="16"/>
        <v>0.17562105263157898</v>
      </c>
      <c r="J37" s="115">
        <f t="shared" si="16"/>
        <v>0.17596140350877199</v>
      </c>
      <c r="K37" s="115">
        <f t="shared" si="16"/>
        <v>0.17630175438596496</v>
      </c>
      <c r="L37" s="115">
        <f t="shared" si="16"/>
        <v>0.17664210526315793</v>
      </c>
      <c r="M37" s="115">
        <f t="shared" si="16"/>
        <v>0.17698245614035091</v>
      </c>
      <c r="N37" s="115">
        <f t="shared" si="16"/>
        <v>0.17732280701754388</v>
      </c>
      <c r="O37" s="115">
        <f t="shared" si="16"/>
        <v>0.17766315789473688</v>
      </c>
      <c r="P37" s="115">
        <f t="shared" si="16"/>
        <v>0.17800350877192986</v>
      </c>
      <c r="Q37" s="115">
        <f t="shared" si="16"/>
        <v>0.17834385964912283</v>
      </c>
      <c r="R37" s="115">
        <f t="shared" si="16"/>
        <v>0.17868421052631583</v>
      </c>
      <c r="S37" s="115">
        <f t="shared" si="16"/>
        <v>0.17902456140350881</v>
      </c>
      <c r="T37" s="115">
        <f t="shared" si="16"/>
        <v>0.17936491228070178</v>
      </c>
      <c r="U37" s="115">
        <f t="shared" si="16"/>
        <v>0.17970526315789478</v>
      </c>
      <c r="V37" s="115">
        <f t="shared" si="16"/>
        <v>0.18004561403508776</v>
      </c>
      <c r="W37" s="115">
        <f t="shared" si="16"/>
        <v>0.18038596491228076</v>
      </c>
    </row>
    <row r="38" spans="1:23" x14ac:dyDescent="0.25">
      <c r="A38" s="131" t="s">
        <v>96</v>
      </c>
      <c r="B38" s="118" t="s">
        <v>105</v>
      </c>
      <c r="C38" s="119">
        <f>ParametersCalculation!C56</f>
        <v>1E-3</v>
      </c>
      <c r="D38" s="119">
        <f>$C$38*D28</f>
        <v>1.1000000000000001E-3</v>
      </c>
      <c r="E38" s="119">
        <f t="shared" ref="E38:W38" si="17">$C$38*E28</f>
        <v>1.1999999999999999E-3</v>
      </c>
      <c r="F38" s="119">
        <f t="shared" si="17"/>
        <v>1.3000000000000002E-3</v>
      </c>
      <c r="G38" s="119">
        <f t="shared" si="17"/>
        <v>1.4E-3</v>
      </c>
      <c r="H38" s="119">
        <f t="shared" si="17"/>
        <v>1.5E-3</v>
      </c>
      <c r="I38" s="119">
        <f t="shared" si="17"/>
        <v>1.6000000000000001E-3</v>
      </c>
      <c r="J38" s="119">
        <f t="shared" si="17"/>
        <v>1.6999999999999999E-3</v>
      </c>
      <c r="K38" s="119">
        <f t="shared" si="17"/>
        <v>1.8000000000000002E-3</v>
      </c>
      <c r="L38" s="119">
        <f t="shared" si="17"/>
        <v>1.9E-3</v>
      </c>
      <c r="M38" s="119">
        <f t="shared" si="17"/>
        <v>2E-3</v>
      </c>
      <c r="N38" s="119">
        <f t="shared" si="17"/>
        <v>2.1000000000000003E-3</v>
      </c>
      <c r="O38" s="119">
        <f t="shared" si="17"/>
        <v>2.2000000000000001E-3</v>
      </c>
      <c r="P38" s="119">
        <f t="shared" si="17"/>
        <v>2.3E-3</v>
      </c>
      <c r="Q38" s="119">
        <f t="shared" si="17"/>
        <v>2.3999999999999998E-3</v>
      </c>
      <c r="R38" s="119">
        <f t="shared" si="17"/>
        <v>2.5000000000000001E-3</v>
      </c>
      <c r="S38" s="119">
        <f t="shared" si="17"/>
        <v>2.6000000000000003E-3</v>
      </c>
      <c r="T38" s="119">
        <f t="shared" si="17"/>
        <v>2.7000000000000001E-3</v>
      </c>
      <c r="U38" s="119">
        <f t="shared" si="17"/>
        <v>2.8E-3</v>
      </c>
      <c r="V38" s="119">
        <f t="shared" si="17"/>
        <v>2.8999999999999998E-3</v>
      </c>
      <c r="W38" s="119">
        <f t="shared" si="17"/>
        <v>3.0000000000000001E-3</v>
      </c>
    </row>
    <row r="39" spans="1:23" ht="32.25" x14ac:dyDescent="0.25">
      <c r="A39" s="131"/>
      <c r="B39" s="114" t="s">
        <v>561</v>
      </c>
      <c r="C39" s="115">
        <f>ParametersCalculation!$C$55/ParametersCalculation!$B$49*(1+C38)</f>
        <v>1.738578947368421</v>
      </c>
      <c r="D39" s="115">
        <f>ParametersCalculation!$C$55/ParametersCalculation!$B$49*(1+D38)</f>
        <v>1.7387526315789477</v>
      </c>
      <c r="E39" s="115">
        <f>ParametersCalculation!$C$55/ParametersCalculation!$B$49*(1+E38)</f>
        <v>1.7389263157894739</v>
      </c>
      <c r="F39" s="115">
        <f>ParametersCalculation!$C$55/ParametersCalculation!$B$49*(1+F38)</f>
        <v>1.7391000000000003</v>
      </c>
      <c r="G39" s="115">
        <f>ParametersCalculation!$C$55/ParametersCalculation!$B$49*(1+G38)</f>
        <v>1.7392736842105265</v>
      </c>
      <c r="H39" s="115">
        <f>ParametersCalculation!$C$55/ParametersCalculation!$B$49*(1+H38)</f>
        <v>1.7394473684210527</v>
      </c>
      <c r="I39" s="115">
        <f>ParametersCalculation!$C$55/ParametersCalculation!$B$49*(1+I38)</f>
        <v>1.7396210526315792</v>
      </c>
      <c r="J39" s="115">
        <f>ParametersCalculation!$C$55/ParametersCalculation!$B$49*(1+J38)</f>
        <v>1.7397947368421054</v>
      </c>
      <c r="K39" s="115">
        <f>ParametersCalculation!$C$55/ParametersCalculation!$B$49*(1+K38)</f>
        <v>1.7399684210526316</v>
      </c>
      <c r="L39" s="115">
        <f>ParametersCalculation!$C$55/ParametersCalculation!$B$49*(1+L38)</f>
        <v>1.740142105263158</v>
      </c>
      <c r="M39" s="115">
        <f>ParametersCalculation!$C$55/ParametersCalculation!$B$49*(1+M38)</f>
        <v>1.7403157894736843</v>
      </c>
      <c r="N39" s="115">
        <f>ParametersCalculation!$C$55/ParametersCalculation!$B$49*(1+N38)</f>
        <v>1.7404894736842105</v>
      </c>
      <c r="O39" s="115">
        <f>ParametersCalculation!$C$55/ParametersCalculation!$B$49*(1+O38)</f>
        <v>1.7406631578947369</v>
      </c>
      <c r="P39" s="115">
        <f>ParametersCalculation!$C$55/ParametersCalculation!$B$49*(1+P38)</f>
        <v>1.7408368421052631</v>
      </c>
      <c r="Q39" s="115">
        <f>ParametersCalculation!$C$55/ParametersCalculation!$B$49*(1+Q38)</f>
        <v>1.7410105263157896</v>
      </c>
      <c r="R39" s="115">
        <f>ParametersCalculation!$C$55/ParametersCalculation!$B$49*(1+R38)</f>
        <v>1.7411842105263158</v>
      </c>
      <c r="S39" s="115">
        <f>ParametersCalculation!$C$55/ParametersCalculation!$B$49*(1+S38)</f>
        <v>1.741357894736842</v>
      </c>
      <c r="T39" s="115">
        <f>ParametersCalculation!$C$55/ParametersCalculation!$B$49*(1+T38)</f>
        <v>1.7415315789473684</v>
      </c>
      <c r="U39" s="115">
        <f>ParametersCalculation!$C$55/ParametersCalculation!$B$49*(1+U38)</f>
        <v>1.7417052631578946</v>
      </c>
      <c r="V39" s="115">
        <f>ParametersCalculation!$C$55/ParametersCalculation!$B$49*(1+V38)</f>
        <v>1.7418789473684209</v>
      </c>
      <c r="W39" s="115">
        <f>ParametersCalculation!$C$55/ParametersCalculation!$B$49*(1+W38)</f>
        <v>1.7420526315789473</v>
      </c>
    </row>
    <row r="40" spans="1:23" ht="33.75" x14ac:dyDescent="0.25">
      <c r="A40" s="131"/>
      <c r="B40" s="114" t="s">
        <v>562</v>
      </c>
      <c r="C40" s="116">
        <f>MethaneLeakageRange!C39*ParametersCalculation!$B$49*MethaneLeakageRange!C38*GasesProperties!$B$4</f>
        <v>7.1053982999999999E-4</v>
      </c>
      <c r="D40" s="115">
        <f>MethaneLeakageRange!D39*ParametersCalculation!$B$49*MethaneLeakageRange!D38*GasesProperties!$B$4</f>
        <v>7.816718943E-4</v>
      </c>
      <c r="E40" s="115">
        <f>MethaneLeakageRange!E39*ParametersCalculation!$B$49*MethaneLeakageRange!E38*GasesProperties!$B$4</f>
        <v>8.5281815519999997E-4</v>
      </c>
      <c r="F40" s="115">
        <f>MethaneLeakageRange!F39*ParametersCalculation!$B$49*MethaneLeakageRange!F38*GasesProperties!$B$4</f>
        <v>9.2397861270000021E-4</v>
      </c>
      <c r="G40" s="115">
        <f>MethaneLeakageRange!G39*ParametersCalculation!$B$49*MethaneLeakageRange!G38*GasesProperties!$B$4</f>
        <v>9.9515326679999998E-4</v>
      </c>
      <c r="H40" s="115">
        <f>MethaneLeakageRange!H39*ParametersCalculation!$B$49*MethaneLeakageRange!H38*GasesProperties!$B$4</f>
        <v>1.0663421175E-3</v>
      </c>
      <c r="I40" s="115">
        <f>MethaneLeakageRange!I39*ParametersCalculation!$B$49*MethaneLeakageRange!I38*GasesProperties!$B$4</f>
        <v>1.1375451648E-3</v>
      </c>
      <c r="J40" s="115">
        <f>MethaneLeakageRange!J39*ParametersCalculation!$B$49*MethaneLeakageRange!J38*GasesProperties!$B$4</f>
        <v>1.2087624086999998E-3</v>
      </c>
      <c r="K40" s="115">
        <f>MethaneLeakageRange!K39*ParametersCalculation!$B$49*MethaneLeakageRange!K38*GasesProperties!$B$4</f>
        <v>1.2799938491999999E-3</v>
      </c>
      <c r="L40" s="115">
        <f>MethaneLeakageRange!L39*ParametersCalculation!$B$49*MethaneLeakageRange!L38*GasesProperties!$B$4</f>
        <v>1.3512394863E-3</v>
      </c>
      <c r="M40" s="115">
        <f>MethaneLeakageRange!M39*ParametersCalculation!$B$49*MethaneLeakageRange!M38*GasesProperties!$B$4</f>
        <v>1.4224993199999998E-3</v>
      </c>
      <c r="N40" s="115">
        <f>MethaneLeakageRange!N39*ParametersCalculation!$B$49*MethaneLeakageRange!N38*GasesProperties!$B$4</f>
        <v>1.4937733503000001E-3</v>
      </c>
      <c r="O40" s="115">
        <f>MethaneLeakageRange!O39*ParametersCalculation!$B$49*MethaneLeakageRange!O38*GasesProperties!$B$4</f>
        <v>1.5650615772E-3</v>
      </c>
      <c r="P40" s="115">
        <f>MethaneLeakageRange!P39*ParametersCalculation!$B$49*MethaneLeakageRange!P38*GasesProperties!$B$4</f>
        <v>1.6363640006999995E-3</v>
      </c>
      <c r="Q40" s="115">
        <f>MethaneLeakageRange!Q39*ParametersCalculation!$B$49*MethaneLeakageRange!Q38*GasesProperties!$B$4</f>
        <v>1.7076806207999996E-3</v>
      </c>
      <c r="R40" s="115">
        <f>MethaneLeakageRange!R39*ParametersCalculation!$B$49*MethaneLeakageRange!R38*GasesProperties!$B$4</f>
        <v>1.7790114374999998E-3</v>
      </c>
      <c r="S40" s="115">
        <f>MethaneLeakageRange!S39*ParametersCalculation!$B$49*MethaneLeakageRange!S38*GasesProperties!$B$4</f>
        <v>1.8503564508E-3</v>
      </c>
      <c r="T40" s="115">
        <f>MethaneLeakageRange!T39*ParametersCalculation!$B$49*MethaneLeakageRange!T38*GasesProperties!$B$4</f>
        <v>1.9217156607E-3</v>
      </c>
      <c r="U40" s="115">
        <f>MethaneLeakageRange!U39*ParametersCalculation!$B$49*MethaneLeakageRange!U38*GasesProperties!$B$4</f>
        <v>1.9930890671999999E-3</v>
      </c>
      <c r="V40" s="115">
        <f>MethaneLeakageRange!V39*ParametersCalculation!$B$49*MethaneLeakageRange!V38*GasesProperties!$B$4</f>
        <v>2.0644766702999995E-3</v>
      </c>
      <c r="W40" s="115">
        <f>MethaneLeakageRange!W39*ParametersCalculation!$B$49*MethaneLeakageRange!W38*GasesProperties!$B$4</f>
        <v>2.1358784699999998E-3</v>
      </c>
    </row>
    <row r="41" spans="1:23" ht="33.75" x14ac:dyDescent="0.25">
      <c r="A41" s="131"/>
      <c r="B41" s="102" t="s">
        <v>563</v>
      </c>
      <c r="C41" s="115">
        <f>MethaneLeakageRange!C39*ParametersCalculation!$B$50*ParametersCalculation!$C$55*GasesProperties!$B$5</f>
        <v>1.4780057766157897</v>
      </c>
      <c r="D41" s="115">
        <f>MethaneLeakageRange!D39*ParametersCalculation!$B$50*ParametersCalculation!$C$55*GasesProperties!$B$5</f>
        <v>1.478153429540527</v>
      </c>
      <c r="E41" s="115">
        <f>MethaneLeakageRange!E39*ParametersCalculation!$B$50*ParametersCalculation!$C$55*GasesProperties!$B$5</f>
        <v>1.4783010824652638</v>
      </c>
      <c r="F41" s="115">
        <f>MethaneLeakageRange!F39*ParametersCalculation!$B$50*ParametersCalculation!$C$55*GasesProperties!$B$5</f>
        <v>1.4784487353900007</v>
      </c>
      <c r="G41" s="115">
        <f>MethaneLeakageRange!G39*ParametersCalculation!$B$50*ParametersCalculation!$C$55*GasesProperties!$B$5</f>
        <v>1.4785963883147375</v>
      </c>
      <c r="H41" s="115">
        <f>MethaneLeakageRange!H39*ParametersCalculation!$B$50*ParametersCalculation!$C$55*GasesProperties!$B$5</f>
        <v>1.4787440412394743</v>
      </c>
      <c r="I41" s="115">
        <f>MethaneLeakageRange!I39*ParametersCalculation!$B$50*ParametersCalculation!$C$55*GasesProperties!$B$5</f>
        <v>1.4788916941642112</v>
      </c>
      <c r="J41" s="115">
        <f>MethaneLeakageRange!J39*ParametersCalculation!$B$50*ParametersCalculation!$C$55*GasesProperties!$B$5</f>
        <v>1.479039347088948</v>
      </c>
      <c r="K41" s="115">
        <f>MethaneLeakageRange!K39*ParametersCalculation!$B$50*ParametersCalculation!$C$55*GasesProperties!$B$5</f>
        <v>1.4791870000136846</v>
      </c>
      <c r="L41" s="115">
        <f>MethaneLeakageRange!L39*ParametersCalculation!$B$50*ParametersCalculation!$C$55*GasesProperties!$B$5</f>
        <v>1.4793346529384217</v>
      </c>
      <c r="M41" s="115">
        <f>MethaneLeakageRange!M39*ParametersCalculation!$B$50*ParametersCalculation!$C$55*GasesProperties!$B$5</f>
        <v>1.4794823058631583</v>
      </c>
      <c r="N41" s="115">
        <f>MethaneLeakageRange!N39*ParametersCalculation!$B$50*ParametersCalculation!$C$55*GasesProperties!$B$5</f>
        <v>1.4796299587878949</v>
      </c>
      <c r="O41" s="115">
        <f>MethaneLeakageRange!O39*ParametersCalculation!$B$50*ParametersCalculation!$C$55*GasesProperties!$B$5</f>
        <v>1.479777611712632</v>
      </c>
      <c r="P41" s="115">
        <f>MethaneLeakageRange!P39*ParametersCalculation!$B$50*ParametersCalculation!$C$55*GasesProperties!$B$5</f>
        <v>1.4799252646373686</v>
      </c>
      <c r="Q41" s="115">
        <f>MethaneLeakageRange!Q39*ParametersCalculation!$B$50*ParametersCalculation!$C$55*GasesProperties!$B$5</f>
        <v>1.4800729175621057</v>
      </c>
      <c r="R41" s="115">
        <f>MethaneLeakageRange!R39*ParametersCalculation!$B$50*ParametersCalculation!$C$55*GasesProperties!$B$5</f>
        <v>1.4802205704868425</v>
      </c>
      <c r="S41" s="115">
        <f>MethaneLeakageRange!S39*ParametersCalculation!$B$50*ParametersCalculation!$C$55*GasesProperties!$B$5</f>
        <v>1.4803682234115794</v>
      </c>
      <c r="T41" s="115">
        <f>MethaneLeakageRange!T39*ParametersCalculation!$B$50*ParametersCalculation!$C$55*GasesProperties!$B$5</f>
        <v>1.4805158763363164</v>
      </c>
      <c r="U41" s="115">
        <f>MethaneLeakageRange!U39*ParametersCalculation!$B$50*ParametersCalculation!$C$55*GasesProperties!$B$5</f>
        <v>1.480663529261053</v>
      </c>
      <c r="V41" s="115">
        <f>MethaneLeakageRange!V39*ParametersCalculation!$B$50*ParametersCalculation!$C$55*GasesProperties!$B$5</f>
        <v>1.4808111821857897</v>
      </c>
      <c r="W41" s="115">
        <f>MethaneLeakageRange!W39*ParametersCalculation!$B$50*ParametersCalculation!$C$55*GasesProperties!$B$5</f>
        <v>1.4809588351105267</v>
      </c>
    </row>
    <row r="42" spans="1:23" ht="33.75" x14ac:dyDescent="0.25">
      <c r="A42" s="131"/>
      <c r="B42" s="102" t="s">
        <v>564</v>
      </c>
      <c r="C42" s="117">
        <f>MethaneLeakageRange!C39*ParametersCalculation!$B$50*MethaneLeakageRange!C38*GasesProperties!$B$5</f>
        <v>1.4929351278947373E-3</v>
      </c>
      <c r="D42" s="117">
        <f>MethaneLeakageRange!D39*ParametersCalculation!$B$50*MethaneLeakageRange!D38*GasesProperties!$B$5</f>
        <v>1.6423926994894745E-3</v>
      </c>
      <c r="E42" s="117">
        <f>MethaneLeakageRange!E39*ParametersCalculation!$B$50*MethaneLeakageRange!E38*GasesProperties!$B$5</f>
        <v>1.7918800999578953E-3</v>
      </c>
      <c r="F42" s="117">
        <f>MethaneLeakageRange!F39*ParametersCalculation!$B$50*MethaneLeakageRange!F38*GasesProperties!$B$5</f>
        <v>1.941397329300001E-3</v>
      </c>
      <c r="G42" s="117">
        <f>MethaneLeakageRange!G39*ParametersCalculation!$B$50*MethaneLeakageRange!G38*GasesProperties!$B$5</f>
        <v>2.0909443875157903E-3</v>
      </c>
      <c r="H42" s="117">
        <f>MethaneLeakageRange!H39*ParametersCalculation!$B$50*MethaneLeakageRange!H38*GasesProperties!$B$5</f>
        <v>2.2405212746052644E-3</v>
      </c>
      <c r="I42" s="117">
        <f>MethaneLeakageRange!I39*ParametersCalculation!$B$50*MethaneLeakageRange!I38*GasesProperties!$B$5</f>
        <v>2.3901279905684221E-3</v>
      </c>
      <c r="J42" s="117">
        <f>MethaneLeakageRange!J39*ParametersCalculation!$B$50*MethaneLeakageRange!J38*GasesProperties!$B$5</f>
        <v>2.5397645354052639E-3</v>
      </c>
      <c r="K42" s="117">
        <f>MethaneLeakageRange!K39*ParametersCalculation!$B$50*MethaneLeakageRange!K38*GasesProperties!$B$5</f>
        <v>2.6894309091157905E-3</v>
      </c>
      <c r="L42" s="117">
        <f>MethaneLeakageRange!L39*ParametersCalculation!$B$50*MethaneLeakageRange!L38*GasesProperties!$B$5</f>
        <v>2.8391271117000011E-3</v>
      </c>
      <c r="M42" s="117">
        <f>MethaneLeakageRange!M39*ParametersCalculation!$B$50*MethaneLeakageRange!M38*GasesProperties!$B$5</f>
        <v>2.9888531431578958E-3</v>
      </c>
      <c r="N42" s="117">
        <f>MethaneLeakageRange!N39*ParametersCalculation!$B$50*MethaneLeakageRange!N38*GasesProperties!$B$5</f>
        <v>3.1386090034894749E-3</v>
      </c>
      <c r="O42" s="117">
        <f>MethaneLeakageRange!O39*ParametersCalculation!$B$50*MethaneLeakageRange!O38*GasesProperties!$B$5</f>
        <v>3.288394692694738E-3</v>
      </c>
      <c r="P42" s="117">
        <f>MethaneLeakageRange!P39*ParametersCalculation!$B$50*MethaneLeakageRange!P38*GasesProperties!$B$5</f>
        <v>3.4382102107736847E-3</v>
      </c>
      <c r="Q42" s="117">
        <f>MethaneLeakageRange!Q39*ParametersCalculation!$B$50*MethaneLeakageRange!Q38*GasesProperties!$B$5</f>
        <v>3.5880555577263162E-3</v>
      </c>
      <c r="R42" s="117">
        <f>MethaneLeakageRange!R39*ParametersCalculation!$B$50*MethaneLeakageRange!R38*GasesProperties!$B$5</f>
        <v>3.7379307335526327E-3</v>
      </c>
      <c r="S42" s="117">
        <f>MethaneLeakageRange!S39*ParametersCalculation!$B$50*MethaneLeakageRange!S38*GasesProperties!$B$5</f>
        <v>3.8878357382526331E-3</v>
      </c>
      <c r="T42" s="117">
        <f>MethaneLeakageRange!T39*ParametersCalculation!$B$50*MethaneLeakageRange!T38*GasesProperties!$B$5</f>
        <v>4.0377705718263176E-3</v>
      </c>
      <c r="U42" s="117">
        <f>MethaneLeakageRange!U39*ParametersCalculation!$B$50*MethaneLeakageRange!U38*GasesProperties!$B$5</f>
        <v>4.1877352342736852E-3</v>
      </c>
      <c r="V42" s="117">
        <f>MethaneLeakageRange!V39*ParametersCalculation!$B$50*MethaneLeakageRange!V38*GasesProperties!$B$5</f>
        <v>4.3377297255947373E-3</v>
      </c>
      <c r="W42" s="117">
        <f>MethaneLeakageRange!W39*ParametersCalculation!$B$50*MethaneLeakageRange!W38*GasesProperties!$B$5</f>
        <v>4.4877540457894756E-3</v>
      </c>
    </row>
    <row r="43" spans="1:23" ht="33.75" x14ac:dyDescent="0.25">
      <c r="A43" s="131"/>
      <c r="B43" s="102" t="s">
        <v>565</v>
      </c>
      <c r="C43" s="115">
        <f>C41-C42</f>
        <v>1.476512841487895</v>
      </c>
      <c r="D43" s="115">
        <f t="shared" ref="D43:W43" si="18">D41-D42</f>
        <v>1.4765110368410375</v>
      </c>
      <c r="E43" s="115">
        <f t="shared" si="18"/>
        <v>1.4765092023653059</v>
      </c>
      <c r="F43" s="115">
        <f t="shared" si="18"/>
        <v>1.4765073380607006</v>
      </c>
      <c r="G43" s="115">
        <f t="shared" si="18"/>
        <v>1.4765054439272216</v>
      </c>
      <c r="H43" s="115">
        <f t="shared" si="18"/>
        <v>1.4765035199648691</v>
      </c>
      <c r="I43" s="115">
        <f t="shared" si="18"/>
        <v>1.4765015661736427</v>
      </c>
      <c r="J43" s="115">
        <f t="shared" si="18"/>
        <v>1.4764995825535427</v>
      </c>
      <c r="K43" s="115">
        <f t="shared" si="18"/>
        <v>1.4764975691045688</v>
      </c>
      <c r="L43" s="115">
        <f t="shared" si="18"/>
        <v>1.4764955258267216</v>
      </c>
      <c r="M43" s="115">
        <f t="shared" si="18"/>
        <v>1.4764934527200004</v>
      </c>
      <c r="N43" s="115">
        <f t="shared" si="18"/>
        <v>1.4764913497844054</v>
      </c>
      <c r="O43" s="115">
        <f t="shared" si="18"/>
        <v>1.4764892170199373</v>
      </c>
      <c r="P43" s="115">
        <f t="shared" si="18"/>
        <v>1.4764870544265949</v>
      </c>
      <c r="Q43" s="115">
        <f t="shared" si="18"/>
        <v>1.4764848620043793</v>
      </c>
      <c r="R43" s="115">
        <f t="shared" si="18"/>
        <v>1.47648263975329</v>
      </c>
      <c r="S43" s="115">
        <f t="shared" si="18"/>
        <v>1.4764803876733268</v>
      </c>
      <c r="T43" s="115">
        <f t="shared" si="18"/>
        <v>1.47647810576449</v>
      </c>
      <c r="U43" s="115">
        <f t="shared" si="18"/>
        <v>1.4764757940267794</v>
      </c>
      <c r="V43" s="115">
        <f t="shared" si="18"/>
        <v>1.476473452460195</v>
      </c>
      <c r="W43" s="115">
        <f t="shared" si="18"/>
        <v>1.4764710810647372</v>
      </c>
    </row>
    <row r="44" spans="1:23" ht="32.25" x14ac:dyDescent="0.25">
      <c r="A44" s="131"/>
      <c r="B44" s="114" t="s">
        <v>566</v>
      </c>
      <c r="C44" s="115">
        <f>ParametersCalculation!$C$67*MethaneLeakageRange!C39+ParametersCalculation!$C$68*ParametersCalculation!$C$57</f>
        <v>0.33827505263157898</v>
      </c>
      <c r="D44" s="115">
        <f>ParametersCalculation!$C$67*MethaneLeakageRange!D39+ParametersCalculation!$C$68*ParametersCalculation!$C$57</f>
        <v>0.33829936842105268</v>
      </c>
      <c r="E44" s="115">
        <f>ParametersCalculation!$C$67*MethaneLeakageRange!E39+ParametersCalculation!$C$68*ParametersCalculation!$C$57</f>
        <v>0.33832368421052639</v>
      </c>
      <c r="F44" s="115">
        <f>ParametersCalculation!$C$67*MethaneLeakageRange!F39+ParametersCalculation!$C$68*ParametersCalculation!$C$57</f>
        <v>0.33834800000000009</v>
      </c>
      <c r="G44" s="115">
        <f>ParametersCalculation!$C$67*MethaneLeakageRange!G39+ParametersCalculation!$C$68*ParametersCalculation!$C$57</f>
        <v>0.33837231578947374</v>
      </c>
      <c r="H44" s="115">
        <f>ParametersCalculation!$C$67*MethaneLeakageRange!H39+ParametersCalculation!$C$68*ParametersCalculation!$C$57</f>
        <v>0.33839663157894739</v>
      </c>
      <c r="I44" s="115">
        <f>ParametersCalculation!$C$67*MethaneLeakageRange!I39+ParametersCalculation!$C$68*ParametersCalculation!$C$57</f>
        <v>0.3384209473684211</v>
      </c>
      <c r="J44" s="115">
        <f>ParametersCalculation!$C$67*MethaneLeakageRange!J39+ParametersCalculation!$C$68*ParametersCalculation!$C$57</f>
        <v>0.3384452631578948</v>
      </c>
      <c r="K44" s="115">
        <f>ParametersCalculation!$C$67*MethaneLeakageRange!K39+ParametersCalculation!$C$68*ParametersCalculation!$C$57</f>
        <v>0.33846957894736845</v>
      </c>
      <c r="L44" s="115">
        <f>ParametersCalculation!$C$67*MethaneLeakageRange!L39+ParametersCalculation!$C$68*ParametersCalculation!$C$57</f>
        <v>0.33849389473684216</v>
      </c>
      <c r="M44" s="115">
        <f>ParametersCalculation!$C$67*MethaneLeakageRange!M39+ParametersCalculation!$C$68*ParametersCalculation!$C$57</f>
        <v>0.33851821052631581</v>
      </c>
      <c r="N44" s="115">
        <f>ParametersCalculation!$C$67*MethaneLeakageRange!N39+ParametersCalculation!$C$68*ParametersCalculation!$C$57</f>
        <v>0.33854252631578952</v>
      </c>
      <c r="O44" s="115">
        <f>ParametersCalculation!$C$67*MethaneLeakageRange!O39+ParametersCalculation!$C$68*ParametersCalculation!$C$57</f>
        <v>0.33856684210526317</v>
      </c>
      <c r="P44" s="115">
        <f>ParametersCalculation!$C$67*MethaneLeakageRange!P39+ParametersCalculation!$C$68*ParametersCalculation!$C$57</f>
        <v>0.33859115789473687</v>
      </c>
      <c r="Q44" s="115">
        <f>ParametersCalculation!$C$67*MethaneLeakageRange!Q39+ParametersCalculation!$C$68*ParametersCalculation!$C$57</f>
        <v>0.33861547368421058</v>
      </c>
      <c r="R44" s="115">
        <f>ParametersCalculation!$C$67*MethaneLeakageRange!R39+ParametersCalculation!$C$68*ParametersCalculation!$C$57</f>
        <v>0.33863978947368423</v>
      </c>
      <c r="S44" s="115">
        <f>ParametersCalculation!$C$67*MethaneLeakageRange!S39+ParametersCalculation!$C$68*ParametersCalculation!$C$57</f>
        <v>0.33866410526315788</v>
      </c>
      <c r="T44" s="115">
        <f>ParametersCalculation!$C$67*MethaneLeakageRange!T39+ParametersCalculation!$C$68*ParametersCalculation!$C$57</f>
        <v>0.33868842105263158</v>
      </c>
      <c r="U44" s="115">
        <f>ParametersCalculation!$C$67*MethaneLeakageRange!U39+ParametersCalculation!$C$68*ParametersCalculation!$C$57</f>
        <v>0.33871273684210529</v>
      </c>
      <c r="V44" s="115">
        <f>ParametersCalculation!$C$67*MethaneLeakageRange!V39+ParametersCalculation!$C$68*ParametersCalculation!$C$57</f>
        <v>0.33873705263157894</v>
      </c>
      <c r="W44" s="115">
        <f>ParametersCalculation!$C$67*MethaneLeakageRange!W39+ParametersCalculation!$C$68*ParametersCalculation!$C$57</f>
        <v>0.33876136842105264</v>
      </c>
    </row>
    <row r="45" spans="1:23" ht="32.25" x14ac:dyDescent="0.25">
      <c r="A45" s="131"/>
      <c r="B45" s="114" t="s">
        <v>567</v>
      </c>
      <c r="C45" s="115">
        <f>C44+MethaneLeakageRange!C43*ParametersCalculation!$C$69</f>
        <v>0.55384592748881167</v>
      </c>
      <c r="D45" s="115">
        <f>D44+MethaneLeakageRange!D43*ParametersCalculation!$C$69</f>
        <v>0.55386997979984409</v>
      </c>
      <c r="E45" s="115">
        <f>E44+MethaneLeakageRange!E43*ParametersCalculation!$C$69</f>
        <v>0.55389402775586105</v>
      </c>
      <c r="F45" s="115">
        <f>F44+MethaneLeakageRange!F43*ParametersCalculation!$C$69</f>
        <v>0.55391807135686233</v>
      </c>
      <c r="G45" s="115">
        <f>G44+MethaneLeakageRange!G43*ParametersCalculation!$C$69</f>
        <v>0.55394211060284815</v>
      </c>
      <c r="H45" s="115">
        <f>H44+MethaneLeakageRange!H43*ParametersCalculation!$C$69</f>
        <v>0.55396614549381828</v>
      </c>
      <c r="I45" s="115">
        <f>I44+MethaneLeakageRange!I43*ParametersCalculation!$C$69</f>
        <v>0.55399017602977296</v>
      </c>
      <c r="J45" s="115">
        <f>J44+MethaneLeakageRange!J43*ParametersCalculation!$C$69</f>
        <v>0.55401420221071207</v>
      </c>
      <c r="K45" s="115">
        <f>K44+MethaneLeakageRange!K43*ParametersCalculation!$C$69</f>
        <v>0.5540382240366355</v>
      </c>
      <c r="L45" s="115">
        <f>L44+MethaneLeakageRange!L43*ParametersCalculation!$C$69</f>
        <v>0.55406224150754346</v>
      </c>
      <c r="M45" s="115">
        <f>M44+MethaneLeakageRange!M43*ParametersCalculation!$C$69</f>
        <v>0.55408625462343586</v>
      </c>
      <c r="N45" s="115">
        <f>N44+MethaneLeakageRange!N43*ParametersCalculation!$C$69</f>
        <v>0.55411026338431268</v>
      </c>
      <c r="O45" s="115">
        <f>O44+MethaneLeakageRange!O43*ParametersCalculation!$C$69</f>
        <v>0.55413426779017394</v>
      </c>
      <c r="P45" s="115">
        <f>P44+MethaneLeakageRange!P43*ParametersCalculation!$C$69</f>
        <v>0.55415826784101974</v>
      </c>
      <c r="Q45" s="115">
        <f>Q44+MethaneLeakageRange!Q43*ParametersCalculation!$C$69</f>
        <v>0.55418226353684996</v>
      </c>
      <c r="R45" s="115">
        <f>R44+MethaneLeakageRange!R43*ParametersCalculation!$C$69</f>
        <v>0.55420625487766451</v>
      </c>
      <c r="S45" s="115">
        <f>S44+MethaneLeakageRange!S43*ParametersCalculation!$C$69</f>
        <v>0.55423024186346359</v>
      </c>
      <c r="T45" s="115">
        <f>T44+MethaneLeakageRange!T43*ParametersCalculation!$C$69</f>
        <v>0.55425422449424711</v>
      </c>
      <c r="U45" s="115">
        <f>U44+MethaneLeakageRange!U43*ParametersCalculation!$C$69</f>
        <v>0.55427820277001505</v>
      </c>
      <c r="V45" s="115">
        <f>V44+MethaneLeakageRange!V43*ParametersCalculation!$C$69</f>
        <v>0.55430217669076742</v>
      </c>
      <c r="W45" s="115">
        <f>W44+MethaneLeakageRange!W43*ParametersCalculation!$C$69</f>
        <v>0.55432614625650423</v>
      </c>
    </row>
    <row r="46" spans="1:23" ht="17.25" x14ac:dyDescent="0.25">
      <c r="A46" s="131"/>
      <c r="B46" s="114" t="s">
        <v>570</v>
      </c>
      <c r="C46" s="115">
        <f>0.55*C39*3.6</f>
        <v>3.4423863157894741</v>
      </c>
      <c r="D46" s="115">
        <f t="shared" ref="D46:W46" si="19">0.55*D39*3.6</f>
        <v>3.4427302105263164</v>
      </c>
      <c r="E46" s="115">
        <f t="shared" si="19"/>
        <v>3.4430741052631584</v>
      </c>
      <c r="F46" s="115">
        <f t="shared" si="19"/>
        <v>3.4434180000000012</v>
      </c>
      <c r="G46" s="115">
        <f t="shared" si="19"/>
        <v>3.4437618947368427</v>
      </c>
      <c r="H46" s="115">
        <f t="shared" si="19"/>
        <v>3.4441057894736846</v>
      </c>
      <c r="I46" s="115">
        <f t="shared" si="19"/>
        <v>3.4444496842105274</v>
      </c>
      <c r="J46" s="115">
        <f t="shared" si="19"/>
        <v>3.4447935789473689</v>
      </c>
      <c r="K46" s="115">
        <f t="shared" si="19"/>
        <v>3.4451374736842109</v>
      </c>
      <c r="L46" s="115">
        <f t="shared" si="19"/>
        <v>3.4454813684210532</v>
      </c>
      <c r="M46" s="115">
        <f t="shared" si="19"/>
        <v>3.4458252631578952</v>
      </c>
      <c r="N46" s="115">
        <f t="shared" si="19"/>
        <v>3.4461691578947371</v>
      </c>
      <c r="O46" s="115">
        <f t="shared" si="19"/>
        <v>3.446513052631579</v>
      </c>
      <c r="P46" s="115">
        <f t="shared" si="19"/>
        <v>3.4468569473684214</v>
      </c>
      <c r="Q46" s="115">
        <f t="shared" si="19"/>
        <v>3.4472008421052638</v>
      </c>
      <c r="R46" s="115">
        <f t="shared" si="19"/>
        <v>3.4475447368421053</v>
      </c>
      <c r="S46" s="115">
        <f t="shared" si="19"/>
        <v>3.4478886315789476</v>
      </c>
      <c r="T46" s="115">
        <f t="shared" si="19"/>
        <v>3.44823252631579</v>
      </c>
      <c r="U46" s="115">
        <f t="shared" si="19"/>
        <v>3.4485764210526315</v>
      </c>
      <c r="V46" s="115">
        <f t="shared" si="19"/>
        <v>3.4489203157894739</v>
      </c>
      <c r="W46" s="115">
        <f t="shared" si="19"/>
        <v>3.4492642105263163</v>
      </c>
    </row>
    <row r="47" spans="1:23" ht="17.25" x14ac:dyDescent="0.25">
      <c r="A47" s="131"/>
      <c r="B47" s="114" t="s">
        <v>569</v>
      </c>
      <c r="C47" s="115">
        <f t="shared" ref="C47:W47" si="20">0.1*C39</f>
        <v>0.1738578947368421</v>
      </c>
      <c r="D47" s="115">
        <f t="shared" si="20"/>
        <v>0.17387526315789478</v>
      </c>
      <c r="E47" s="115">
        <f t="shared" si="20"/>
        <v>0.17389263157894741</v>
      </c>
      <c r="F47" s="115">
        <f t="shared" si="20"/>
        <v>0.17391000000000004</v>
      </c>
      <c r="G47" s="115">
        <f t="shared" si="20"/>
        <v>0.17392736842105266</v>
      </c>
      <c r="H47" s="115">
        <f t="shared" si="20"/>
        <v>0.17394473684210529</v>
      </c>
      <c r="I47" s="115">
        <f t="shared" si="20"/>
        <v>0.17396210526315792</v>
      </c>
      <c r="J47" s="115">
        <f t="shared" si="20"/>
        <v>0.17397947368421054</v>
      </c>
      <c r="K47" s="115">
        <f t="shared" si="20"/>
        <v>0.17399684210526317</v>
      </c>
      <c r="L47" s="115">
        <f t="shared" si="20"/>
        <v>0.17401421052631583</v>
      </c>
      <c r="M47" s="115">
        <f t="shared" si="20"/>
        <v>0.17403157894736843</v>
      </c>
      <c r="N47" s="115">
        <f t="shared" si="20"/>
        <v>0.17404894736842105</v>
      </c>
      <c r="O47" s="115">
        <f t="shared" si="20"/>
        <v>0.17406631578947371</v>
      </c>
      <c r="P47" s="115">
        <f t="shared" si="20"/>
        <v>0.17408368421052633</v>
      </c>
      <c r="Q47" s="115">
        <f t="shared" si="20"/>
        <v>0.17410105263157896</v>
      </c>
      <c r="R47" s="115">
        <f t="shared" si="20"/>
        <v>0.17411842105263159</v>
      </c>
      <c r="S47" s="115">
        <f t="shared" si="20"/>
        <v>0.17413578947368422</v>
      </c>
      <c r="T47" s="115">
        <f t="shared" si="20"/>
        <v>0.17415315789473684</v>
      </c>
      <c r="U47" s="115">
        <f t="shared" si="20"/>
        <v>0.17417052631578947</v>
      </c>
      <c r="V47" s="115">
        <f t="shared" si="20"/>
        <v>0.1741878947368421</v>
      </c>
      <c r="W47" s="115">
        <f t="shared" si="20"/>
        <v>0.17420526315789475</v>
      </c>
    </row>
    <row r="48" spans="1:23" x14ac:dyDescent="0.25">
      <c r="A48" s="131" t="s">
        <v>97</v>
      </c>
      <c r="B48" s="118" t="s">
        <v>105</v>
      </c>
      <c r="C48" s="119">
        <f>ParametersCalculation!D56</f>
        <v>0.01</v>
      </c>
      <c r="D48" s="119">
        <f>$C$48*D28</f>
        <v>1.1000000000000001E-2</v>
      </c>
      <c r="E48" s="119">
        <f t="shared" ref="E48:W48" si="21">$C$48*E28</f>
        <v>1.2E-2</v>
      </c>
      <c r="F48" s="119">
        <f t="shared" si="21"/>
        <v>1.3000000000000001E-2</v>
      </c>
      <c r="G48" s="119">
        <f t="shared" si="21"/>
        <v>1.3999999999999999E-2</v>
      </c>
      <c r="H48" s="119">
        <f t="shared" si="21"/>
        <v>1.4999999999999999E-2</v>
      </c>
      <c r="I48" s="119">
        <f t="shared" si="21"/>
        <v>1.6E-2</v>
      </c>
      <c r="J48" s="119">
        <f t="shared" si="21"/>
        <v>1.7000000000000001E-2</v>
      </c>
      <c r="K48" s="119">
        <f t="shared" si="21"/>
        <v>1.8000000000000002E-2</v>
      </c>
      <c r="L48" s="119">
        <f t="shared" si="21"/>
        <v>1.9E-2</v>
      </c>
      <c r="M48" s="119">
        <f t="shared" si="21"/>
        <v>0.02</v>
      </c>
      <c r="N48" s="119">
        <f t="shared" si="21"/>
        <v>2.1000000000000001E-2</v>
      </c>
      <c r="O48" s="119">
        <f t="shared" si="21"/>
        <v>2.2000000000000002E-2</v>
      </c>
      <c r="P48" s="119">
        <f t="shared" si="21"/>
        <v>2.3E-2</v>
      </c>
      <c r="Q48" s="119">
        <f t="shared" si="21"/>
        <v>2.4E-2</v>
      </c>
      <c r="R48" s="119">
        <f t="shared" si="21"/>
        <v>2.5000000000000001E-2</v>
      </c>
      <c r="S48" s="119">
        <f t="shared" si="21"/>
        <v>2.6000000000000002E-2</v>
      </c>
      <c r="T48" s="119">
        <f t="shared" si="21"/>
        <v>2.7000000000000003E-2</v>
      </c>
      <c r="U48" s="119">
        <f t="shared" si="21"/>
        <v>2.7999999999999997E-2</v>
      </c>
      <c r="V48" s="119">
        <f t="shared" si="21"/>
        <v>2.8999999999999998E-2</v>
      </c>
      <c r="W48" s="119">
        <f t="shared" si="21"/>
        <v>0.03</v>
      </c>
    </row>
    <row r="49" spans="1:23" ht="32.25" x14ac:dyDescent="0.25">
      <c r="A49" s="131"/>
      <c r="B49" s="114" t="s">
        <v>561</v>
      </c>
      <c r="C49" s="115">
        <f>ParametersCalculation!$D$55/ParametersCalculation!$B$49*(1+C48)</f>
        <v>1.7187719298245616</v>
      </c>
      <c r="D49" s="115">
        <f>ParametersCalculation!$D$55/ParametersCalculation!$B$49*(1+D48)</f>
        <v>1.7204736842105264</v>
      </c>
      <c r="E49" s="115">
        <f>ParametersCalculation!$D$55/ParametersCalculation!$B$49*(1+E48)</f>
        <v>1.7221754385964914</v>
      </c>
      <c r="F49" s="115">
        <f>ParametersCalculation!$D$55/ParametersCalculation!$B$49*(1+F48)</f>
        <v>1.7238771929824561</v>
      </c>
      <c r="G49" s="115">
        <f>ParametersCalculation!$D$55/ParametersCalculation!$B$49*(1+G48)</f>
        <v>1.7255789473684213</v>
      </c>
      <c r="H49" s="115">
        <f>ParametersCalculation!$D$55/ParametersCalculation!$B$49*(1+H48)</f>
        <v>1.7272807017543861</v>
      </c>
      <c r="I49" s="115">
        <f>ParametersCalculation!$D$55/ParametersCalculation!$B$49*(1+I48)</f>
        <v>1.7289824561403511</v>
      </c>
      <c r="J49" s="115">
        <f>ParametersCalculation!$D$55/ParametersCalculation!$B$49*(1+J48)</f>
        <v>1.7306842105263158</v>
      </c>
      <c r="K49" s="115">
        <f>ParametersCalculation!$D$55/ParametersCalculation!$B$49*(1+K48)</f>
        <v>1.7323859649122808</v>
      </c>
      <c r="L49" s="115">
        <f>ParametersCalculation!$D$55/ParametersCalculation!$B$49*(1+L48)</f>
        <v>1.7340877192982456</v>
      </c>
      <c r="M49" s="115">
        <f>ParametersCalculation!$D$55/ParametersCalculation!$B$49*(1+M48)</f>
        <v>1.7357894736842108</v>
      </c>
      <c r="N49" s="115">
        <f>ParametersCalculation!$D$55/ParametersCalculation!$B$49*(1+N48)</f>
        <v>1.7374912280701755</v>
      </c>
      <c r="O49" s="115">
        <f>ParametersCalculation!$D$55/ParametersCalculation!$B$49*(1+O48)</f>
        <v>1.7391929824561405</v>
      </c>
      <c r="P49" s="115">
        <f>ParametersCalculation!$D$55/ParametersCalculation!$B$49*(1+P48)</f>
        <v>1.7408947368421053</v>
      </c>
      <c r="Q49" s="115">
        <f>ParametersCalculation!$D$55/ParametersCalculation!$B$49*(1+Q48)</f>
        <v>1.7425964912280705</v>
      </c>
      <c r="R49" s="115">
        <f>ParametersCalculation!$D$55/ParametersCalculation!$B$49*(1+R48)</f>
        <v>1.744298245614035</v>
      </c>
      <c r="S49" s="115">
        <f>ParametersCalculation!$D$55/ParametersCalculation!$B$49*(1+S48)</f>
        <v>1.7460000000000002</v>
      </c>
      <c r="T49" s="115">
        <f>ParametersCalculation!$D$55/ParametersCalculation!$B$49*(1+T48)</f>
        <v>1.747701754385965</v>
      </c>
      <c r="U49" s="115">
        <f>ParametersCalculation!$D$55/ParametersCalculation!$B$49*(1+U48)</f>
        <v>1.74940350877193</v>
      </c>
      <c r="V49" s="115">
        <f>ParametersCalculation!$D$55/ParametersCalculation!$B$49*(1+V48)</f>
        <v>1.7511052631578947</v>
      </c>
      <c r="W49" s="115">
        <f>ParametersCalculation!$D$55/ParametersCalculation!$B$49*(1+W48)</f>
        <v>1.7528070175438599</v>
      </c>
    </row>
    <row r="50" spans="1:23" ht="33.75" x14ac:dyDescent="0.25">
      <c r="A50" s="131"/>
      <c r="B50" s="114" t="s">
        <v>562</v>
      </c>
      <c r="C50" s="116">
        <f>MethaneLeakageRange!C49*ParametersCalculation!$B$49*MethaneLeakageRange!C48*GasesProperties!$B$4</f>
        <v>7.0244489999999995E-3</v>
      </c>
      <c r="D50" s="115">
        <f>MethaneLeakageRange!D49*ParametersCalculation!$B$49*MethaneLeakageRange!D48*GasesProperties!$B$4</f>
        <v>7.73454429E-3</v>
      </c>
      <c r="E50" s="115">
        <f>MethaneLeakageRange!E49*ParametersCalculation!$B$49*MethaneLeakageRange!E48*GasesProperties!$B$4</f>
        <v>8.4460305599999997E-3</v>
      </c>
      <c r="F50" s="115">
        <f>MethaneLeakageRange!F49*ParametersCalculation!$B$49*MethaneLeakageRange!F48*GasesProperties!$B$4</f>
        <v>9.1589078099999985E-3</v>
      </c>
      <c r="G50" s="115">
        <f>MethaneLeakageRange!G49*ParametersCalculation!$B$49*MethaneLeakageRange!G48*GasesProperties!$B$4</f>
        <v>9.873176039999999E-3</v>
      </c>
      <c r="H50" s="115">
        <f>MethaneLeakageRange!H49*ParametersCalculation!$B$49*MethaneLeakageRange!H48*GasesProperties!$B$4</f>
        <v>1.0588835249999999E-2</v>
      </c>
      <c r="I50" s="115">
        <f>MethaneLeakageRange!I49*ParametersCalculation!$B$49*MethaneLeakageRange!I48*GasesProperties!$B$4</f>
        <v>1.1305885440000002E-2</v>
      </c>
      <c r="J50" s="115">
        <f>MethaneLeakageRange!J49*ParametersCalculation!$B$49*MethaneLeakageRange!J48*GasesProperties!$B$4</f>
        <v>1.202432661E-2</v>
      </c>
      <c r="K50" s="115">
        <f>MethaneLeakageRange!K49*ParametersCalculation!$B$49*MethaneLeakageRange!K48*GasesProperties!$B$4</f>
        <v>1.2744158760000002E-2</v>
      </c>
      <c r="L50" s="115">
        <f>MethaneLeakageRange!L49*ParametersCalculation!$B$49*MethaneLeakageRange!L48*GasesProperties!$B$4</f>
        <v>1.3465381889999999E-2</v>
      </c>
      <c r="M50" s="115">
        <f>MethaneLeakageRange!M49*ParametersCalculation!$B$49*MethaneLeakageRange!M48*GasesProperties!$B$4</f>
        <v>1.4187996E-2</v>
      </c>
      <c r="N50" s="115">
        <f>MethaneLeakageRange!N49*ParametersCalculation!$B$49*MethaneLeakageRange!N48*GasesProperties!$B$4</f>
        <v>1.491200109E-2</v>
      </c>
      <c r="O50" s="115">
        <f>MethaneLeakageRange!O49*ParametersCalculation!$B$49*MethaneLeakageRange!O48*GasesProperties!$B$4</f>
        <v>1.563739716E-2</v>
      </c>
      <c r="P50" s="115">
        <f>MethaneLeakageRange!P49*ParametersCalculation!$B$49*MethaneLeakageRange!P48*GasesProperties!$B$4</f>
        <v>1.6364184209999997E-2</v>
      </c>
      <c r="Q50" s="115">
        <f>MethaneLeakageRange!Q49*ParametersCalculation!$B$49*MethaneLeakageRange!Q48*GasesProperties!$B$4</f>
        <v>1.7092362239999999E-2</v>
      </c>
      <c r="R50" s="115">
        <f>MethaneLeakageRange!R49*ParametersCalculation!$B$49*MethaneLeakageRange!R48*GasesProperties!$B$4</f>
        <v>1.7821931249999996E-2</v>
      </c>
      <c r="S50" s="115">
        <f>MethaneLeakageRange!S49*ParametersCalculation!$B$49*MethaneLeakageRange!S48*GasesProperties!$B$4</f>
        <v>1.8552891240000001E-2</v>
      </c>
      <c r="T50" s="115">
        <f>MethaneLeakageRange!T49*ParametersCalculation!$B$49*MethaneLeakageRange!T48*GasesProperties!$B$4</f>
        <v>1.9285242210000001E-2</v>
      </c>
      <c r="U50" s="115">
        <f>MethaneLeakageRange!U49*ParametersCalculation!$B$49*MethaneLeakageRange!U48*GasesProperties!$B$4</f>
        <v>2.0018984159999996E-2</v>
      </c>
      <c r="V50" s="115">
        <f>MethaneLeakageRange!V49*ParametersCalculation!$B$49*MethaneLeakageRange!V48*GasesProperties!$B$4</f>
        <v>2.0754117089999993E-2</v>
      </c>
      <c r="W50" s="115">
        <f>MethaneLeakageRange!W49*ParametersCalculation!$B$49*MethaneLeakageRange!W48*GasesProperties!$B$4</f>
        <v>2.1490641000000001E-2</v>
      </c>
    </row>
    <row r="51" spans="1:23" ht="33.75" x14ac:dyDescent="0.25">
      <c r="A51" s="131"/>
      <c r="B51" s="102" t="s">
        <v>563</v>
      </c>
      <c r="C51" s="115">
        <f>MethaneLeakageRange!C49*ParametersCalculation!$B$50*ParametersCalculation!$D$55*GasesProperties!$B$5</f>
        <v>1.4316488445438602</v>
      </c>
      <c r="D51" s="115">
        <f>MethaneLeakageRange!D49*ParametersCalculation!$B$50*ParametersCalculation!$D$55*GasesProperties!$B$5</f>
        <v>1.4330663186473689</v>
      </c>
      <c r="E51" s="115">
        <f>MethaneLeakageRange!E49*ParametersCalculation!$B$50*ParametersCalculation!$D$55*GasesProperties!$B$5</f>
        <v>1.4344837927508778</v>
      </c>
      <c r="F51" s="115">
        <f>MethaneLeakageRange!F49*ParametersCalculation!$B$50*ParametersCalculation!$D$55*GasesProperties!$B$5</f>
        <v>1.4359012668543865</v>
      </c>
      <c r="G51" s="115">
        <f>MethaneLeakageRange!G49*ParametersCalculation!$B$50*ParametersCalculation!$D$55*GasesProperties!$B$5</f>
        <v>1.4373187409578951</v>
      </c>
      <c r="H51" s="115">
        <f>MethaneLeakageRange!H49*ParametersCalculation!$B$50*ParametersCalculation!$D$55*GasesProperties!$B$5</f>
        <v>1.438736215061404</v>
      </c>
      <c r="I51" s="115">
        <f>MethaneLeakageRange!I49*ParametersCalculation!$B$50*ParametersCalculation!$D$55*GasesProperties!$B$5</f>
        <v>1.4401536891649127</v>
      </c>
      <c r="J51" s="115">
        <f>MethaneLeakageRange!J49*ParametersCalculation!$B$50*ParametersCalculation!$D$55*GasesProperties!$B$5</f>
        <v>1.4415711632684214</v>
      </c>
      <c r="K51" s="115">
        <f>MethaneLeakageRange!K49*ParametersCalculation!$B$50*ParametersCalculation!$D$55*GasesProperties!$B$5</f>
        <v>1.4429886373719301</v>
      </c>
      <c r="L51" s="115">
        <f>MethaneLeakageRange!L49*ParametersCalculation!$B$50*ParametersCalculation!$D$55*GasesProperties!$B$5</f>
        <v>1.444406111475439</v>
      </c>
      <c r="M51" s="115">
        <f>MethaneLeakageRange!M49*ParametersCalculation!$B$50*ParametersCalculation!$D$55*GasesProperties!$B$5</f>
        <v>1.4458235855789479</v>
      </c>
      <c r="N51" s="115">
        <f>MethaneLeakageRange!N49*ParametersCalculation!$B$50*ParametersCalculation!$D$55*GasesProperties!$B$5</f>
        <v>1.4472410596824565</v>
      </c>
      <c r="O51" s="115">
        <f>MethaneLeakageRange!O49*ParametersCalculation!$B$50*ParametersCalculation!$D$55*GasesProperties!$B$5</f>
        <v>1.4486585337859654</v>
      </c>
      <c r="P51" s="115">
        <f>MethaneLeakageRange!P49*ParametersCalculation!$B$50*ParametersCalculation!$D$55*GasesProperties!$B$5</f>
        <v>1.4500760078894741</v>
      </c>
      <c r="Q51" s="115">
        <f>MethaneLeakageRange!Q49*ParametersCalculation!$B$50*ParametersCalculation!$D$55*GasesProperties!$B$5</f>
        <v>1.451493481992983</v>
      </c>
      <c r="R51" s="115">
        <f>MethaneLeakageRange!R49*ParametersCalculation!$B$50*ParametersCalculation!$D$55*GasesProperties!$B$5</f>
        <v>1.4529109560964917</v>
      </c>
      <c r="S51" s="115">
        <f>MethaneLeakageRange!S49*ParametersCalculation!$B$50*ParametersCalculation!$D$55*GasesProperties!$B$5</f>
        <v>1.4543284302000004</v>
      </c>
      <c r="T51" s="115">
        <f>MethaneLeakageRange!T49*ParametersCalculation!$B$50*ParametersCalculation!$D$55*GasesProperties!$B$5</f>
        <v>1.455745904303509</v>
      </c>
      <c r="U51" s="115">
        <f>MethaneLeakageRange!U49*ParametersCalculation!$B$50*ParametersCalculation!$D$55*GasesProperties!$B$5</f>
        <v>1.4571633784070182</v>
      </c>
      <c r="V51" s="115">
        <f>MethaneLeakageRange!V49*ParametersCalculation!$B$50*ParametersCalculation!$D$55*GasesProperties!$B$5</f>
        <v>1.4585808525105266</v>
      </c>
      <c r="W51" s="115">
        <f>MethaneLeakageRange!W49*ParametersCalculation!$B$50*ParametersCalculation!$D$55*GasesProperties!$B$5</f>
        <v>1.4599983266140355</v>
      </c>
    </row>
    <row r="52" spans="1:23" ht="33.75" x14ac:dyDescent="0.25">
      <c r="A52" s="131"/>
      <c r="B52" s="102" t="s">
        <v>564</v>
      </c>
      <c r="C52" s="117">
        <f>MethaneLeakageRange!C49*ParametersCalculation!$B$50*MethaneLeakageRange!C48*GasesProperties!$B$5</f>
        <v>1.4759266438596498E-2</v>
      </c>
      <c r="D52" s="117">
        <f>MethaneLeakageRange!D49*ParametersCalculation!$B$50*MethaneLeakageRange!D48*GasesProperties!$B$5</f>
        <v>1.6251267531052639E-2</v>
      </c>
      <c r="E52" s="117">
        <f>MethaneLeakageRange!E49*ParametersCalculation!$B$50*MethaneLeakageRange!E48*GasesProperties!$B$5</f>
        <v>1.7746191250526323E-2</v>
      </c>
      <c r="F52" s="117">
        <f>MethaneLeakageRange!F49*ParametersCalculation!$B$50*MethaneLeakageRange!F48*GasesProperties!$B$5</f>
        <v>1.9244037597017552E-2</v>
      </c>
      <c r="G52" s="117">
        <f>MethaneLeakageRange!G49*ParametersCalculation!$B$50*MethaneLeakageRange!G48*GasesProperties!$B$5</f>
        <v>2.0744806570526322E-2</v>
      </c>
      <c r="H52" s="117">
        <f>MethaneLeakageRange!H49*ParametersCalculation!$B$50*MethaneLeakageRange!H48*GasesProperties!$B$5</f>
        <v>2.2248498171052636E-2</v>
      </c>
      <c r="I52" s="117">
        <f>MethaneLeakageRange!I49*ParametersCalculation!$B$50*MethaneLeakageRange!I48*GasesProperties!$B$5</f>
        <v>2.3755112398596501E-2</v>
      </c>
      <c r="J52" s="117">
        <f>MethaneLeakageRange!J49*ParametersCalculation!$B$50*MethaneLeakageRange!J48*GasesProperties!$B$5</f>
        <v>2.5264649253157904E-2</v>
      </c>
      <c r="K52" s="117">
        <f>MethaneLeakageRange!K49*ParametersCalculation!$B$50*MethaneLeakageRange!K48*GasesProperties!$B$5</f>
        <v>2.6777108734736856E-2</v>
      </c>
      <c r="L52" s="117">
        <f>MethaneLeakageRange!L49*ParametersCalculation!$B$50*MethaneLeakageRange!L48*GasesProperties!$B$5</f>
        <v>2.8292490843333341E-2</v>
      </c>
      <c r="M52" s="117">
        <f>MethaneLeakageRange!M49*ParametersCalculation!$B$50*MethaneLeakageRange!M48*GasesProperties!$B$5</f>
        <v>2.9810795578947384E-2</v>
      </c>
      <c r="N52" s="117">
        <f>MethaneLeakageRange!N49*ParametersCalculation!$B$50*MethaneLeakageRange!N48*GasesProperties!$B$5</f>
        <v>3.1332022941578962E-2</v>
      </c>
      <c r="O52" s="117">
        <f>MethaneLeakageRange!O49*ParametersCalculation!$B$50*MethaneLeakageRange!O48*GasesProperties!$B$5</f>
        <v>3.2856172931228084E-2</v>
      </c>
      <c r="P52" s="117">
        <f>MethaneLeakageRange!P49*ParametersCalculation!$B$50*MethaneLeakageRange!P48*GasesProperties!$B$5</f>
        <v>3.438324554789475E-2</v>
      </c>
      <c r="Q52" s="117">
        <f>MethaneLeakageRange!Q49*ParametersCalculation!$B$50*MethaneLeakageRange!Q48*GasesProperties!$B$5</f>
        <v>3.5913240791578968E-2</v>
      </c>
      <c r="R52" s="117">
        <f>MethaneLeakageRange!R49*ParametersCalculation!$B$50*MethaneLeakageRange!R48*GasesProperties!$B$5</f>
        <v>3.7446158662280717E-2</v>
      </c>
      <c r="S52" s="117">
        <f>MethaneLeakageRange!S49*ParametersCalculation!$B$50*MethaneLeakageRange!S48*GasesProperties!$B$5</f>
        <v>3.8981999160000017E-2</v>
      </c>
      <c r="T52" s="117">
        <f>MethaneLeakageRange!T49*ParametersCalculation!$B$50*MethaneLeakageRange!T48*GasesProperties!$B$5</f>
        <v>4.0520762284736861E-2</v>
      </c>
      <c r="U52" s="117">
        <f>MethaneLeakageRange!U49*ParametersCalculation!$B$50*MethaneLeakageRange!U48*GasesProperties!$B$5</f>
        <v>4.2062448036491243E-2</v>
      </c>
      <c r="V52" s="117">
        <f>MethaneLeakageRange!V49*ParametersCalculation!$B$50*MethaneLeakageRange!V48*GasesProperties!$B$5</f>
        <v>4.3607056415263169E-2</v>
      </c>
      <c r="W52" s="117">
        <f>MethaneLeakageRange!W49*ParametersCalculation!$B$50*MethaneLeakageRange!W48*GasesProperties!$B$5</f>
        <v>4.5154587421052647E-2</v>
      </c>
    </row>
    <row r="53" spans="1:23" ht="33.75" x14ac:dyDescent="0.25">
      <c r="A53" s="131"/>
      <c r="B53" s="102" t="s">
        <v>565</v>
      </c>
      <c r="C53" s="115">
        <f>C51-C52</f>
        <v>1.4168895781052637</v>
      </c>
      <c r="D53" s="115">
        <f t="shared" ref="D53:W53" si="22">D51-D52</f>
        <v>1.4168150511163162</v>
      </c>
      <c r="E53" s="115">
        <f t="shared" si="22"/>
        <v>1.4167376015003514</v>
      </c>
      <c r="F53" s="115">
        <f t="shared" si="22"/>
        <v>1.4166572292573689</v>
      </c>
      <c r="G53" s="115">
        <f t="shared" si="22"/>
        <v>1.4165739343873689</v>
      </c>
      <c r="H53" s="115">
        <f t="shared" si="22"/>
        <v>1.4164877168903514</v>
      </c>
      <c r="I53" s="115">
        <f t="shared" si="22"/>
        <v>1.4163985767663163</v>
      </c>
      <c r="J53" s="115">
        <f t="shared" si="22"/>
        <v>1.4163065140152635</v>
      </c>
      <c r="K53" s="115">
        <f t="shared" si="22"/>
        <v>1.4162115286371932</v>
      </c>
      <c r="L53" s="115">
        <f t="shared" si="22"/>
        <v>1.4161136206321057</v>
      </c>
      <c r="M53" s="115">
        <f t="shared" si="22"/>
        <v>1.4160127900000006</v>
      </c>
      <c r="N53" s="115">
        <f t="shared" si="22"/>
        <v>1.4159090367408775</v>
      </c>
      <c r="O53" s="115">
        <f t="shared" si="22"/>
        <v>1.4158023608547374</v>
      </c>
      <c r="P53" s="115">
        <f t="shared" si="22"/>
        <v>1.4156927623415794</v>
      </c>
      <c r="Q53" s="115">
        <f t="shared" si="22"/>
        <v>1.415580241201404</v>
      </c>
      <c r="R53" s="115">
        <f t="shared" si="22"/>
        <v>1.4154647974342109</v>
      </c>
      <c r="S53" s="115">
        <f t="shared" si="22"/>
        <v>1.4153464310400004</v>
      </c>
      <c r="T53" s="115">
        <f t="shared" si="22"/>
        <v>1.4152251420187723</v>
      </c>
      <c r="U53" s="115">
        <f t="shared" si="22"/>
        <v>1.4151009303705269</v>
      </c>
      <c r="V53" s="115">
        <f t="shared" si="22"/>
        <v>1.4149737960952635</v>
      </c>
      <c r="W53" s="115">
        <f t="shared" si="22"/>
        <v>1.4148437391929829</v>
      </c>
    </row>
    <row r="54" spans="1:23" ht="32.25" x14ac:dyDescent="0.25">
      <c r="A54" s="131"/>
      <c r="B54" s="114" t="s">
        <v>566</v>
      </c>
      <c r="C54" s="115">
        <f>ParametersCalculation!$D$67*MethaneLeakageRange!C49+ParametersCalculation!$D$68*ParametersCalculation!$D$57</f>
        <v>0.55340157894736841</v>
      </c>
      <c r="D54" s="115">
        <f>ParametersCalculation!$D$67*MethaneLeakageRange!D49+ParametersCalculation!$D$68*ParametersCalculation!$D$57</f>
        <v>0.55391210526315782</v>
      </c>
      <c r="E54" s="115">
        <f>ParametersCalculation!$D$67*MethaneLeakageRange!E49+ParametersCalculation!$D$68*ParametersCalculation!$D$57</f>
        <v>0.55442263157894733</v>
      </c>
      <c r="F54" s="115">
        <f>ParametersCalculation!$D$67*MethaneLeakageRange!F49+ParametersCalculation!$D$68*ParametersCalculation!$D$57</f>
        <v>0.55493315789473674</v>
      </c>
      <c r="G54" s="115">
        <f>ParametersCalculation!$D$67*MethaneLeakageRange!G49+ParametersCalculation!$D$68*ParametersCalculation!$D$57</f>
        <v>0.55544368421052637</v>
      </c>
      <c r="H54" s="115">
        <f>ParametersCalculation!$D$67*MethaneLeakageRange!H49+ParametersCalculation!$D$68*ParametersCalculation!$D$57</f>
        <v>0.55595421052631577</v>
      </c>
      <c r="I54" s="115">
        <f>ParametersCalculation!$D$67*MethaneLeakageRange!I49+ParametersCalculation!$D$68*ParametersCalculation!$D$57</f>
        <v>0.55646473684210529</v>
      </c>
      <c r="J54" s="115">
        <f>ParametersCalculation!$D$67*MethaneLeakageRange!J49+ParametersCalculation!$D$68*ParametersCalculation!$D$57</f>
        <v>0.5569752631578947</v>
      </c>
      <c r="K54" s="115">
        <f>ParametersCalculation!$D$67*MethaneLeakageRange!K49+ParametersCalculation!$D$68*ParametersCalculation!$D$57</f>
        <v>0.55748578947368421</v>
      </c>
      <c r="L54" s="115">
        <f>ParametersCalculation!$D$67*MethaneLeakageRange!L49+ParametersCalculation!$D$68*ParametersCalculation!$D$57</f>
        <v>0.55799631578947362</v>
      </c>
      <c r="M54" s="115">
        <f>ParametersCalculation!$D$67*MethaneLeakageRange!M49+ParametersCalculation!$D$68*ParametersCalculation!$D$57</f>
        <v>0.55850684210526313</v>
      </c>
      <c r="N54" s="115">
        <f>ParametersCalculation!$D$67*MethaneLeakageRange!N49+ParametersCalculation!$D$68*ParametersCalculation!$D$57</f>
        <v>0.55901736842105265</v>
      </c>
      <c r="O54" s="115">
        <f>ParametersCalculation!$D$67*MethaneLeakageRange!O49+ParametersCalculation!$D$68*ParametersCalculation!$D$57</f>
        <v>0.55952789473684206</v>
      </c>
      <c r="P54" s="115">
        <f>ParametersCalculation!$D$67*MethaneLeakageRange!P49+ParametersCalculation!$D$68*ParametersCalculation!$D$57</f>
        <v>0.56003842105263157</v>
      </c>
      <c r="Q54" s="115">
        <f>ParametersCalculation!$D$67*MethaneLeakageRange!Q49+ParametersCalculation!$D$68*ParametersCalculation!$D$57</f>
        <v>0.56054894736842109</v>
      </c>
      <c r="R54" s="115">
        <f>ParametersCalculation!$D$67*MethaneLeakageRange!R49+ParametersCalculation!$D$68*ParametersCalculation!$D$57</f>
        <v>0.5610594736842105</v>
      </c>
      <c r="S54" s="115">
        <f>ParametersCalculation!$D$67*MethaneLeakageRange!S49+ParametersCalculation!$D$68*ParametersCalculation!$D$57</f>
        <v>0.56157000000000001</v>
      </c>
      <c r="T54" s="115">
        <f>ParametersCalculation!$D$67*MethaneLeakageRange!T49+ParametersCalculation!$D$68*ParametersCalculation!$D$57</f>
        <v>0.56208052631578942</v>
      </c>
      <c r="U54" s="115">
        <f>ParametersCalculation!$D$67*MethaneLeakageRange!U49+ParametersCalculation!$D$68*ParametersCalculation!$D$57</f>
        <v>0.56259105263157894</v>
      </c>
      <c r="V54" s="115">
        <f>ParametersCalculation!$D$67*MethaneLeakageRange!V49+ParametersCalculation!$D$68*ParametersCalculation!$D$57</f>
        <v>0.56310157894736834</v>
      </c>
      <c r="W54" s="115">
        <f>ParametersCalculation!$D$67*MethaneLeakageRange!W49+ParametersCalculation!$D$68*ParametersCalculation!$D$57</f>
        <v>0.56361210526315797</v>
      </c>
    </row>
    <row r="55" spans="1:23" ht="32.25" x14ac:dyDescent="0.25">
      <c r="A55" s="131"/>
      <c r="B55" s="114" t="s">
        <v>567</v>
      </c>
      <c r="C55" s="115">
        <f>C54+MethaneLeakageRange!C53*ParametersCalculation!$D$69</f>
        <v>0.76026745735073686</v>
      </c>
      <c r="D55" s="115">
        <f>D54+MethaneLeakageRange!D53*ParametersCalculation!$D$69</f>
        <v>0.76076710272614001</v>
      </c>
      <c r="E55" s="115">
        <f>E54+MethaneLeakageRange!E53*ParametersCalculation!$D$69</f>
        <v>0.76126632139799866</v>
      </c>
      <c r="F55" s="115">
        <f>F54+MethaneLeakageRange!F53*ParametersCalculation!$D$69</f>
        <v>0.76176511336631259</v>
      </c>
      <c r="G55" s="115">
        <f>G54+MethaneLeakageRange!G53*ParametersCalculation!$D$69</f>
        <v>0.76226347863108224</v>
      </c>
      <c r="H55" s="115">
        <f>H54+MethaneLeakageRange!H53*ParametersCalculation!$D$69</f>
        <v>0.76276141719230706</v>
      </c>
      <c r="I55" s="115">
        <f>I54+MethaneLeakageRange!I53*ParametersCalculation!$D$69</f>
        <v>0.76325892904998749</v>
      </c>
      <c r="J55" s="115">
        <f>J54+MethaneLeakageRange!J53*ParametersCalculation!$D$69</f>
        <v>0.76375601420412309</v>
      </c>
      <c r="K55" s="115">
        <f>K54+MethaneLeakageRange!K53*ParametersCalculation!$D$69</f>
        <v>0.76425267265471442</v>
      </c>
      <c r="L55" s="115">
        <f>L54+MethaneLeakageRange!L53*ParametersCalculation!$D$69</f>
        <v>0.76474890440176102</v>
      </c>
      <c r="M55" s="115">
        <f>M54+MethaneLeakageRange!M53*ParametersCalculation!$D$69</f>
        <v>0.76524470944526324</v>
      </c>
      <c r="N55" s="115">
        <f>N54+MethaneLeakageRange!N53*ParametersCalculation!$D$69</f>
        <v>0.76574008778522074</v>
      </c>
      <c r="O55" s="115">
        <f>O54+MethaneLeakageRange!O53*ParametersCalculation!$D$69</f>
        <v>0.76623503942163373</v>
      </c>
      <c r="P55" s="115">
        <f>P54+MethaneLeakageRange!P53*ParametersCalculation!$D$69</f>
        <v>0.76672956435450212</v>
      </c>
      <c r="Q55" s="115">
        <f>Q54+MethaneLeakageRange!Q53*ParametersCalculation!$D$69</f>
        <v>0.76722366258382602</v>
      </c>
      <c r="R55" s="115">
        <f>R54+MethaneLeakageRange!R53*ParametersCalculation!$D$69</f>
        <v>0.7677173341096053</v>
      </c>
      <c r="S55" s="115">
        <f>S54+MethaneLeakageRange!S53*ParametersCalculation!$D$69</f>
        <v>0.76821057893184008</v>
      </c>
      <c r="T55" s="115">
        <f>T54+MethaneLeakageRange!T53*ParametersCalculation!$D$69</f>
        <v>0.76870339705053015</v>
      </c>
      <c r="U55" s="115">
        <f>U54+MethaneLeakageRange!U53*ParametersCalculation!$D$69</f>
        <v>0.76919578846567582</v>
      </c>
      <c r="V55" s="115">
        <f>V54+MethaneLeakageRange!V53*ParametersCalculation!$D$69</f>
        <v>0.76968775317727678</v>
      </c>
      <c r="W55" s="115">
        <f>W54+MethaneLeakageRange!W53*ParametersCalculation!$D$69</f>
        <v>0.77017929118533346</v>
      </c>
    </row>
    <row r="56" spans="1:23" x14ac:dyDescent="0.25">
      <c r="A56" s="131" t="s">
        <v>98</v>
      </c>
      <c r="B56" s="118" t="s">
        <v>105</v>
      </c>
      <c r="C56" s="119">
        <f>ParametersCalculation!E56</f>
        <v>0.03</v>
      </c>
      <c r="D56" s="119">
        <f>$C$56*D28</f>
        <v>3.3000000000000002E-2</v>
      </c>
      <c r="E56" s="119">
        <f t="shared" ref="E56:W56" si="23">$C$56*E28</f>
        <v>3.5999999999999997E-2</v>
      </c>
      <c r="F56" s="119">
        <f t="shared" si="23"/>
        <v>3.9E-2</v>
      </c>
      <c r="G56" s="119">
        <f t="shared" si="23"/>
        <v>4.1999999999999996E-2</v>
      </c>
      <c r="H56" s="119">
        <f t="shared" si="23"/>
        <v>4.4999999999999998E-2</v>
      </c>
      <c r="I56" s="119">
        <f t="shared" si="23"/>
        <v>4.8000000000000001E-2</v>
      </c>
      <c r="J56" s="119">
        <f t="shared" si="23"/>
        <v>5.0999999999999997E-2</v>
      </c>
      <c r="K56" s="119">
        <f t="shared" si="23"/>
        <v>5.3999999999999999E-2</v>
      </c>
      <c r="L56" s="119">
        <f t="shared" si="23"/>
        <v>5.6999999999999995E-2</v>
      </c>
      <c r="M56" s="119">
        <f t="shared" si="23"/>
        <v>0.06</v>
      </c>
      <c r="N56" s="119">
        <f t="shared" si="23"/>
        <v>6.3E-2</v>
      </c>
      <c r="O56" s="119">
        <f t="shared" si="23"/>
        <v>6.6000000000000003E-2</v>
      </c>
      <c r="P56" s="119">
        <f t="shared" si="23"/>
        <v>6.8999999999999992E-2</v>
      </c>
      <c r="Q56" s="119">
        <f t="shared" si="23"/>
        <v>7.1999999999999995E-2</v>
      </c>
      <c r="R56" s="119">
        <f t="shared" si="23"/>
        <v>7.4999999999999997E-2</v>
      </c>
      <c r="S56" s="119">
        <f t="shared" si="23"/>
        <v>7.8E-2</v>
      </c>
      <c r="T56" s="119">
        <f t="shared" si="23"/>
        <v>8.1000000000000003E-2</v>
      </c>
      <c r="U56" s="119">
        <f t="shared" si="23"/>
        <v>8.3999999999999991E-2</v>
      </c>
      <c r="V56" s="119">
        <f t="shared" si="23"/>
        <v>8.6999999999999994E-2</v>
      </c>
      <c r="W56" s="119">
        <f t="shared" si="23"/>
        <v>0.09</v>
      </c>
    </row>
    <row r="57" spans="1:23" ht="32.25" x14ac:dyDescent="0.25">
      <c r="A57" s="131"/>
      <c r="B57" s="114" t="s">
        <v>561</v>
      </c>
      <c r="C57" s="115">
        <f>ParametersCalculation!$E$55/ParametersCalculation!$B$49*(1+C56)</f>
        <v>1.7347368421052634</v>
      </c>
      <c r="D57" s="115">
        <f>ParametersCalculation!$E$55/ParametersCalculation!$B$49*(1+D56)</f>
        <v>1.7397894736842106</v>
      </c>
      <c r="E57" s="115">
        <f>ParametersCalculation!$E$55/ParametersCalculation!$B$49*(1+E56)</f>
        <v>1.744842105263158</v>
      </c>
      <c r="F57" s="115">
        <f>ParametersCalculation!$E$55/ParametersCalculation!$B$49*(1+F56)</f>
        <v>1.7498947368421052</v>
      </c>
      <c r="G57" s="115">
        <f>ParametersCalculation!$E$55/ParametersCalculation!$B$49*(1+G56)</f>
        <v>1.7549473684210528</v>
      </c>
      <c r="H57" s="115">
        <f>ParametersCalculation!$E$55/ParametersCalculation!$B$49*(1+H56)</f>
        <v>1.76</v>
      </c>
      <c r="I57" s="115">
        <f>ParametersCalculation!$E$55/ParametersCalculation!$B$49*(1+I56)</f>
        <v>1.7650526315789477</v>
      </c>
      <c r="J57" s="115">
        <f>ParametersCalculation!$E$55/ParametersCalculation!$B$49*(1+J56)</f>
        <v>1.7701052631578948</v>
      </c>
      <c r="K57" s="115">
        <f>ParametersCalculation!$E$55/ParametersCalculation!$B$49*(1+K56)</f>
        <v>1.7751578947368423</v>
      </c>
      <c r="L57" s="115">
        <f>ParametersCalculation!$E$55/ParametersCalculation!$B$49*(1+L56)</f>
        <v>1.7802105263157895</v>
      </c>
      <c r="M57" s="115">
        <f>ParametersCalculation!$E$55/ParametersCalculation!$B$49*(1+M56)</f>
        <v>1.7852631578947371</v>
      </c>
      <c r="N57" s="115">
        <f>ParametersCalculation!$E$55/ParametersCalculation!$B$49*(1+N56)</f>
        <v>1.7903157894736843</v>
      </c>
      <c r="O57" s="115">
        <f>ParametersCalculation!$E$55/ParametersCalculation!$B$49*(1+O56)</f>
        <v>1.7953684210526317</v>
      </c>
      <c r="P57" s="115">
        <f>ParametersCalculation!$E$55/ParametersCalculation!$B$49*(1+P56)</f>
        <v>1.8004210526315789</v>
      </c>
      <c r="Q57" s="115">
        <f>ParametersCalculation!$E$55/ParametersCalculation!$B$49*(1+Q56)</f>
        <v>1.8054736842105266</v>
      </c>
      <c r="R57" s="115">
        <f>ParametersCalculation!$E$55/ParametersCalculation!$B$49*(1+R56)</f>
        <v>1.8105263157894738</v>
      </c>
      <c r="S57" s="115">
        <f>ParametersCalculation!$E$55/ParametersCalculation!$B$49*(1+S56)</f>
        <v>1.8155789473684214</v>
      </c>
      <c r="T57" s="115">
        <f>ParametersCalculation!$E$55/ParametersCalculation!$B$49*(1+T56)</f>
        <v>1.8206315789473686</v>
      </c>
      <c r="U57" s="115">
        <f>ParametersCalculation!$E$55/ParametersCalculation!$B$49*(1+U56)</f>
        <v>1.825684210526316</v>
      </c>
      <c r="V57" s="115">
        <f>ParametersCalculation!$E$55/ParametersCalculation!$B$49*(1+V56)</f>
        <v>1.8307368421052632</v>
      </c>
      <c r="W57" s="115">
        <f>ParametersCalculation!$E$55/ParametersCalculation!$B$49*(1+W56)</f>
        <v>1.8357894736842109</v>
      </c>
    </row>
    <row r="58" spans="1:23" ht="33.75" x14ac:dyDescent="0.25">
      <c r="A58" s="131"/>
      <c r="B58" s="114" t="s">
        <v>562</v>
      </c>
      <c r="C58" s="116">
        <f>MethaneLeakageRange!C57*ParametersCalculation!$B$49*MethaneLeakageRange!C56*GasesProperties!$B$4</f>
        <v>2.1269087999999998E-2</v>
      </c>
      <c r="D58" s="115">
        <f>MethaneLeakageRange!D57*ParametersCalculation!$B$49*MethaneLeakageRange!D56*GasesProperties!$B$4</f>
        <v>2.3464140479999999E-2</v>
      </c>
      <c r="E58" s="115">
        <f>MethaneLeakageRange!E57*ParametersCalculation!$B$49*MethaneLeakageRange!E56*GasesProperties!$B$4</f>
        <v>2.5671582719999995E-2</v>
      </c>
      <c r="F58" s="115">
        <f>MethaneLeakageRange!F57*ParametersCalculation!$B$49*MethaneLeakageRange!F56*GasesProperties!$B$4</f>
        <v>2.7891414719999997E-2</v>
      </c>
      <c r="G58" s="115">
        <f>MethaneLeakageRange!G57*ParametersCalculation!$B$49*MethaneLeakageRange!G56*GasesProperties!$B$4</f>
        <v>3.0123636479999997E-2</v>
      </c>
      <c r="H58" s="115">
        <f>MethaneLeakageRange!H57*ParametersCalculation!$B$49*MethaneLeakageRange!H56*GasesProperties!$B$4</f>
        <v>3.2368247999999988E-2</v>
      </c>
      <c r="I58" s="115">
        <f>MethaneLeakageRange!I57*ParametersCalculation!$B$49*MethaneLeakageRange!I56*GasesProperties!$B$4</f>
        <v>3.4625249279999999E-2</v>
      </c>
      <c r="J58" s="115">
        <f>MethaneLeakageRange!J57*ParametersCalculation!$B$49*MethaneLeakageRange!J56*GasesProperties!$B$4</f>
        <v>3.6894640319999998E-2</v>
      </c>
      <c r="K58" s="115">
        <f>MethaneLeakageRange!K57*ParametersCalculation!$B$49*MethaneLeakageRange!K56*GasesProperties!$B$4</f>
        <v>3.9176421119999999E-2</v>
      </c>
      <c r="L58" s="115">
        <f>MethaneLeakageRange!L57*ParametersCalculation!$B$49*MethaneLeakageRange!L56*GasesProperties!$B$4</f>
        <v>4.1470591679999988E-2</v>
      </c>
      <c r="M58" s="115">
        <f>MethaneLeakageRange!M57*ParametersCalculation!$B$49*MethaneLeakageRange!M56*GasesProperties!$B$4</f>
        <v>4.3777152E-2</v>
      </c>
      <c r="N58" s="115">
        <f>MethaneLeakageRange!N57*ParametersCalculation!$B$49*MethaneLeakageRange!N56*GasesProperties!$B$4</f>
        <v>4.609610208E-2</v>
      </c>
      <c r="O58" s="115">
        <f>MethaneLeakageRange!O57*ParametersCalculation!$B$49*MethaneLeakageRange!O56*GasesProperties!$B$4</f>
        <v>4.8427441920000001E-2</v>
      </c>
      <c r="P58" s="115">
        <f>MethaneLeakageRange!P57*ParametersCalculation!$B$49*MethaneLeakageRange!P56*GasesProperties!$B$4</f>
        <v>5.0771171519999984E-2</v>
      </c>
      <c r="Q58" s="115">
        <f>MethaneLeakageRange!Q57*ParametersCalculation!$B$49*MethaneLeakageRange!Q56*GasesProperties!$B$4</f>
        <v>5.312729087999999E-2</v>
      </c>
      <c r="R58" s="115">
        <f>MethaneLeakageRange!R57*ParametersCalculation!$B$49*MethaneLeakageRange!R56*GasesProperties!$B$4</f>
        <v>5.5495799999999998E-2</v>
      </c>
      <c r="S58" s="115">
        <f>MethaneLeakageRange!S57*ParametersCalculation!$B$49*MethaneLeakageRange!S56*GasesProperties!$B$4</f>
        <v>5.7876698879999994E-2</v>
      </c>
      <c r="T58" s="115">
        <f>MethaneLeakageRange!T57*ParametersCalculation!$B$49*MethaneLeakageRange!T56*GasesProperties!$B$4</f>
        <v>6.0269987519999998E-2</v>
      </c>
      <c r="U58" s="115">
        <f>MethaneLeakageRange!U57*ParametersCalculation!$B$49*MethaneLeakageRange!U56*GasesProperties!$B$4</f>
        <v>6.2675665919999998E-2</v>
      </c>
      <c r="V58" s="115">
        <f>MethaneLeakageRange!V57*ParametersCalculation!$B$49*MethaneLeakageRange!V56*GasesProperties!$B$4</f>
        <v>6.5093734079999993E-2</v>
      </c>
      <c r="W58" s="115">
        <f>MethaneLeakageRange!W57*ParametersCalculation!$B$49*MethaneLeakageRange!W56*GasesProperties!$B$4</f>
        <v>6.7524191999999997E-2</v>
      </c>
    </row>
    <row r="59" spans="1:23" ht="33.75" x14ac:dyDescent="0.25">
      <c r="A59" s="131"/>
      <c r="B59" s="102" t="s">
        <v>563</v>
      </c>
      <c r="C59" s="115">
        <f>MethaneLeakageRange!C57*ParametersCalculation!$B$50*ParametersCalculation!$E$55*GasesProperties!$B$5</f>
        <v>1.4300504387368427</v>
      </c>
      <c r="D59" s="115">
        <f>MethaneLeakageRange!D57*ParametersCalculation!$B$50*ParametersCalculation!$E$55*GasesProperties!$B$5</f>
        <v>1.4342156341894743</v>
      </c>
      <c r="E59" s="115">
        <f>MethaneLeakageRange!E57*ParametersCalculation!$B$50*ParametersCalculation!$E$55*GasesProperties!$B$5</f>
        <v>1.4383808296421057</v>
      </c>
      <c r="F59" s="115">
        <f>MethaneLeakageRange!F57*ParametersCalculation!$B$50*ParametersCalculation!$E$55*GasesProperties!$B$5</f>
        <v>1.4425460250947371</v>
      </c>
      <c r="G59" s="115">
        <f>MethaneLeakageRange!G57*ParametersCalculation!$B$50*ParametersCalculation!$E$55*GasesProperties!$B$5</f>
        <v>1.4467112205473689</v>
      </c>
      <c r="H59" s="115">
        <f>MethaneLeakageRange!H57*ParametersCalculation!$B$50*ParametersCalculation!$E$55*GasesProperties!$B$5</f>
        <v>1.4508764160000003</v>
      </c>
      <c r="I59" s="115">
        <f>MethaneLeakageRange!I57*ParametersCalculation!$B$50*ParametersCalculation!$E$55*GasesProperties!$B$5</f>
        <v>1.4550416114526321</v>
      </c>
      <c r="J59" s="115">
        <f>MethaneLeakageRange!J57*ParametersCalculation!$B$50*ParametersCalculation!$E$55*GasesProperties!$B$5</f>
        <v>1.4592068069052637</v>
      </c>
      <c r="K59" s="115">
        <f>MethaneLeakageRange!K57*ParametersCalculation!$B$50*ParametersCalculation!$E$55*GasesProperties!$B$5</f>
        <v>1.4633720023578951</v>
      </c>
      <c r="L59" s="115">
        <f>MethaneLeakageRange!L57*ParametersCalculation!$B$50*ParametersCalculation!$E$55*GasesProperties!$B$5</f>
        <v>1.4675371978105267</v>
      </c>
      <c r="M59" s="115">
        <f>MethaneLeakageRange!M57*ParametersCalculation!$B$50*ParametersCalculation!$E$55*GasesProperties!$B$5</f>
        <v>1.4717023932631585</v>
      </c>
      <c r="N59" s="115">
        <f>MethaneLeakageRange!N57*ParametersCalculation!$B$50*ParametersCalculation!$E$55*GasesProperties!$B$5</f>
        <v>1.4758675887157899</v>
      </c>
      <c r="O59" s="115">
        <f>MethaneLeakageRange!O57*ParametersCalculation!$B$50*ParametersCalculation!$E$55*GasesProperties!$B$5</f>
        <v>1.4800327841684213</v>
      </c>
      <c r="P59" s="115">
        <f>MethaneLeakageRange!P57*ParametersCalculation!$B$50*ParametersCalculation!$E$55*GasesProperties!$B$5</f>
        <v>1.4841979796210532</v>
      </c>
      <c r="Q59" s="115">
        <f>MethaneLeakageRange!Q57*ParametersCalculation!$B$50*ParametersCalculation!$E$55*GasesProperties!$B$5</f>
        <v>1.488363175073685</v>
      </c>
      <c r="R59" s="115">
        <f>MethaneLeakageRange!R57*ParametersCalculation!$B$50*ParametersCalculation!$E$55*GasesProperties!$B$5</f>
        <v>1.4925283705263164</v>
      </c>
      <c r="S59" s="115">
        <f>MethaneLeakageRange!S57*ParametersCalculation!$B$50*ParametersCalculation!$E$55*GasesProperties!$B$5</f>
        <v>1.496693565978948</v>
      </c>
      <c r="T59" s="115">
        <f>MethaneLeakageRange!T57*ParametersCalculation!$B$50*ParametersCalculation!$E$55*GasesProperties!$B$5</f>
        <v>1.5008587614315796</v>
      </c>
      <c r="U59" s="115">
        <f>MethaneLeakageRange!U57*ParametersCalculation!$B$50*ParametersCalculation!$E$55*GasesProperties!$B$5</f>
        <v>1.5050239568842112</v>
      </c>
      <c r="V59" s="115">
        <f>MethaneLeakageRange!V57*ParametersCalculation!$B$50*ParametersCalculation!$E$55*GasesProperties!$B$5</f>
        <v>1.5091891523368424</v>
      </c>
      <c r="W59" s="115">
        <f>MethaneLeakageRange!W57*ParametersCalculation!$B$50*ParametersCalculation!$E$55*GasesProperties!$B$5</f>
        <v>1.5133543477894742</v>
      </c>
    </row>
    <row r="60" spans="1:23" ht="33.75" x14ac:dyDescent="0.25">
      <c r="A60" s="131"/>
      <c r="B60" s="102" t="s">
        <v>564</v>
      </c>
      <c r="C60" s="117">
        <f>MethaneLeakageRange!C57*ParametersCalculation!$B$50*MethaneLeakageRange!C56*GasesProperties!$B$5</f>
        <v>4.4689076210526334E-2</v>
      </c>
      <c r="D60" s="117">
        <f>MethaneLeakageRange!D57*ParametersCalculation!$B$50*MethaneLeakageRange!D56*GasesProperties!$B$5</f>
        <v>4.9301162425263181E-2</v>
      </c>
      <c r="E60" s="117">
        <f>MethaneLeakageRange!E57*ParametersCalculation!$B$50*MethaneLeakageRange!E56*GasesProperties!$B$5</f>
        <v>5.393928111157896E-2</v>
      </c>
      <c r="F60" s="117">
        <f>MethaneLeakageRange!F57*ParametersCalculation!$B$50*MethaneLeakageRange!F56*GasesProperties!$B$5</f>
        <v>5.8603432269473697E-2</v>
      </c>
      <c r="G60" s="117">
        <f>MethaneLeakageRange!G57*ParametersCalculation!$B$50*MethaneLeakageRange!G56*GasesProperties!$B$5</f>
        <v>6.3293615898947386E-2</v>
      </c>
      <c r="H60" s="117">
        <f>MethaneLeakageRange!H57*ParametersCalculation!$B$50*MethaneLeakageRange!H56*GasesProperties!$B$5</f>
        <v>6.8009832000000006E-2</v>
      </c>
      <c r="I60" s="117">
        <f>MethaneLeakageRange!I57*ParametersCalculation!$B$50*MethaneLeakageRange!I56*GasesProperties!$B$5</f>
        <v>7.2752080572631619E-2</v>
      </c>
      <c r="J60" s="117">
        <f>MethaneLeakageRange!J57*ParametersCalculation!$B$50*MethaneLeakageRange!J56*GasesProperties!$B$5</f>
        <v>7.7520361616842129E-2</v>
      </c>
      <c r="K60" s="117">
        <f>MethaneLeakageRange!K57*ParametersCalculation!$B$50*MethaneLeakageRange!K56*GasesProperties!$B$5</f>
        <v>8.2314675132631604E-2</v>
      </c>
      <c r="L60" s="117">
        <f>MethaneLeakageRange!L57*ParametersCalculation!$B$50*MethaneLeakageRange!L56*GasesProperties!$B$5</f>
        <v>8.7135021120000017E-2</v>
      </c>
      <c r="M60" s="117">
        <f>MethaneLeakageRange!M57*ParametersCalculation!$B$50*MethaneLeakageRange!M56*GasesProperties!$B$5</f>
        <v>9.1981399578947409E-2</v>
      </c>
      <c r="N60" s="117">
        <f>MethaneLeakageRange!N57*ParametersCalculation!$B$50*MethaneLeakageRange!N56*GasesProperties!$B$5</f>
        <v>9.6853810509473726E-2</v>
      </c>
      <c r="O60" s="117">
        <f>MethaneLeakageRange!O57*ParametersCalculation!$B$50*MethaneLeakageRange!O56*GasesProperties!$B$5</f>
        <v>0.10175225391157898</v>
      </c>
      <c r="P60" s="117">
        <f>MethaneLeakageRange!P57*ParametersCalculation!$B$50*MethaneLeakageRange!P56*GasesProperties!$B$5</f>
        <v>0.10667672978526317</v>
      </c>
      <c r="Q60" s="117">
        <f>MethaneLeakageRange!Q57*ParametersCalculation!$B$50*MethaneLeakageRange!Q56*GasesProperties!$B$5</f>
        <v>0.11162723813052636</v>
      </c>
      <c r="R60" s="117">
        <f>MethaneLeakageRange!R57*ParametersCalculation!$B$50*MethaneLeakageRange!R56*GasesProperties!$B$5</f>
        <v>0.11660377894736847</v>
      </c>
      <c r="S60" s="117">
        <f>MethaneLeakageRange!S57*ParametersCalculation!$B$50*MethaneLeakageRange!S56*GasesProperties!$B$5</f>
        <v>0.12160635223578954</v>
      </c>
      <c r="T60" s="117">
        <f>MethaneLeakageRange!T57*ParametersCalculation!$B$50*MethaneLeakageRange!T56*GasesProperties!$B$5</f>
        <v>0.12663495799578953</v>
      </c>
      <c r="U60" s="117">
        <f>MethaneLeakageRange!U57*ParametersCalculation!$B$50*MethaneLeakageRange!U56*GasesProperties!$B$5</f>
        <v>0.13168959622736848</v>
      </c>
      <c r="V60" s="117">
        <f>MethaneLeakageRange!V57*ParametersCalculation!$B$50*MethaneLeakageRange!V56*GasesProperties!$B$5</f>
        <v>0.13677026693052635</v>
      </c>
      <c r="W60" s="117">
        <f>MethaneLeakageRange!W57*ParametersCalculation!$B$50*MethaneLeakageRange!W56*GasesProperties!$B$5</f>
        <v>0.14187697010526323</v>
      </c>
    </row>
    <row r="61" spans="1:23" ht="33.75" x14ac:dyDescent="0.25">
      <c r="A61" s="131"/>
      <c r="B61" s="102" t="s">
        <v>565</v>
      </c>
      <c r="C61" s="115">
        <f>C59-C60</f>
        <v>1.3853613625263164</v>
      </c>
      <c r="D61" s="115">
        <f t="shared" ref="D61:W61" si="24">D59-D60</f>
        <v>1.384914471764211</v>
      </c>
      <c r="E61" s="115">
        <f t="shared" si="24"/>
        <v>1.3844415485305268</v>
      </c>
      <c r="F61" s="115">
        <f t="shared" si="24"/>
        <v>1.3839425928252633</v>
      </c>
      <c r="G61" s="115">
        <f t="shared" si="24"/>
        <v>1.3834176046484215</v>
      </c>
      <c r="H61" s="115">
        <f t="shared" si="24"/>
        <v>1.3828665840000003</v>
      </c>
      <c r="I61" s="115">
        <f t="shared" si="24"/>
        <v>1.3822895308800005</v>
      </c>
      <c r="J61" s="115">
        <f t="shared" si="24"/>
        <v>1.3816864452884217</v>
      </c>
      <c r="K61" s="115">
        <f t="shared" si="24"/>
        <v>1.3810573272252635</v>
      </c>
      <c r="L61" s="115">
        <f t="shared" si="24"/>
        <v>1.3804021766905268</v>
      </c>
      <c r="M61" s="115">
        <f t="shared" si="24"/>
        <v>1.3797209936842112</v>
      </c>
      <c r="N61" s="115">
        <f t="shared" si="24"/>
        <v>1.3790137782063163</v>
      </c>
      <c r="O61" s="115">
        <f t="shared" si="24"/>
        <v>1.3782805302568424</v>
      </c>
      <c r="P61" s="115">
        <f t="shared" si="24"/>
        <v>1.3775212498357901</v>
      </c>
      <c r="Q61" s="115">
        <f t="shared" si="24"/>
        <v>1.3767359369431587</v>
      </c>
      <c r="R61" s="115">
        <f t="shared" si="24"/>
        <v>1.375924591578948</v>
      </c>
      <c r="S61" s="115">
        <f t="shared" si="24"/>
        <v>1.3750872137431585</v>
      </c>
      <c r="T61" s="115">
        <f t="shared" si="24"/>
        <v>1.3742238034357901</v>
      </c>
      <c r="U61" s="115">
        <f t="shared" si="24"/>
        <v>1.3733343606568427</v>
      </c>
      <c r="V61" s="115">
        <f t="shared" si="24"/>
        <v>1.372418885406316</v>
      </c>
      <c r="W61" s="115">
        <f t="shared" si="24"/>
        <v>1.3714773776842111</v>
      </c>
    </row>
    <row r="62" spans="1:23" ht="32.25" x14ac:dyDescent="0.25">
      <c r="A62" s="131"/>
      <c r="B62" s="114" t="s">
        <v>566</v>
      </c>
      <c r="C62" s="115">
        <f>ParametersCalculation!$E$67*MethaneLeakageRange!C57+ParametersCalculation!$E$68*ParametersCalculation!$E$57</f>
        <v>0.51421947368421062</v>
      </c>
      <c r="D62" s="115">
        <f>ParametersCalculation!$E$67*MethaneLeakageRange!D57+ParametersCalculation!$E$68*ParametersCalculation!$E$57</f>
        <v>0.51538157894736847</v>
      </c>
      <c r="E62" s="115">
        <f>ParametersCalculation!$E$67*MethaneLeakageRange!E57+ParametersCalculation!$E$68*ParametersCalculation!$E$57</f>
        <v>0.51654368421052643</v>
      </c>
      <c r="F62" s="115">
        <f>ParametersCalculation!$E$67*MethaneLeakageRange!F57+ParametersCalculation!$E$68*ParametersCalculation!$E$57</f>
        <v>0.51770578947368429</v>
      </c>
      <c r="G62" s="115">
        <f>ParametersCalculation!$E$67*MethaneLeakageRange!G57+ParametersCalculation!$E$68*ParametersCalculation!$E$57</f>
        <v>0.51886789473684214</v>
      </c>
      <c r="H62" s="115">
        <f>ParametersCalculation!$E$67*MethaneLeakageRange!H57+ParametersCalculation!$E$68*ParametersCalculation!$E$57</f>
        <v>0.52002999999999999</v>
      </c>
      <c r="I62" s="115">
        <f>ParametersCalculation!$E$67*MethaneLeakageRange!I57+ParametersCalculation!$E$68*ParametersCalculation!$E$57</f>
        <v>0.52119210526315796</v>
      </c>
      <c r="J62" s="115">
        <f>ParametersCalculation!$E$67*MethaneLeakageRange!J57+ParametersCalculation!$E$68*ParametersCalculation!$E$57</f>
        <v>0.52235421052631581</v>
      </c>
      <c r="K62" s="115">
        <f>ParametersCalculation!$E$67*MethaneLeakageRange!K57+ParametersCalculation!$E$68*ParametersCalculation!$E$57</f>
        <v>0.52351631578947377</v>
      </c>
      <c r="L62" s="115">
        <f>ParametersCalculation!$E$67*MethaneLeakageRange!L57+ParametersCalculation!$E$68*ParametersCalculation!$E$57</f>
        <v>0.52467842105263163</v>
      </c>
      <c r="M62" s="115">
        <f>ParametersCalculation!$E$67*MethaneLeakageRange!M57+ParametersCalculation!$E$68*ParametersCalculation!$E$57</f>
        <v>0.52584052631578948</v>
      </c>
      <c r="N62" s="115">
        <f>ParametersCalculation!$E$67*MethaneLeakageRange!N57+ParametersCalculation!$E$68*ParametersCalculation!$E$57</f>
        <v>0.52700263157894733</v>
      </c>
      <c r="O62" s="115">
        <f>ParametersCalculation!$E$67*MethaneLeakageRange!O57+ParametersCalculation!$E$68*ParametersCalculation!$E$57</f>
        <v>0.5281647368421053</v>
      </c>
      <c r="P62" s="115">
        <f>ParametersCalculation!$E$67*MethaneLeakageRange!P57+ParametersCalculation!$E$68*ParametersCalculation!$E$57</f>
        <v>0.52932684210526315</v>
      </c>
      <c r="Q62" s="115">
        <f>ParametersCalculation!$E$67*MethaneLeakageRange!Q57+ParametersCalculation!$E$68*ParametersCalculation!$E$57</f>
        <v>0.53048894736842112</v>
      </c>
      <c r="R62" s="115">
        <f>ParametersCalculation!$E$67*MethaneLeakageRange!R57+ParametersCalculation!$E$68*ParametersCalculation!$E$57</f>
        <v>0.53165105263157897</v>
      </c>
      <c r="S62" s="115">
        <f>ParametersCalculation!$E$67*MethaneLeakageRange!S57+ParametersCalculation!$E$68*ParametersCalculation!$E$57</f>
        <v>0.53281315789473693</v>
      </c>
      <c r="T62" s="115">
        <f>ParametersCalculation!$E$67*MethaneLeakageRange!T57+ParametersCalculation!$E$68*ParametersCalculation!$E$57</f>
        <v>0.53397526315789479</v>
      </c>
      <c r="U62" s="115">
        <f>ParametersCalculation!$E$67*MethaneLeakageRange!U57+ParametersCalculation!$E$68*ParametersCalculation!$E$57</f>
        <v>0.53513736842105275</v>
      </c>
      <c r="V62" s="115">
        <f>ParametersCalculation!$E$67*MethaneLeakageRange!V57+ParametersCalculation!$E$68*ParametersCalculation!$E$57</f>
        <v>0.5362994736842106</v>
      </c>
      <c r="W62" s="115">
        <f>ParametersCalculation!$E$67*MethaneLeakageRange!W57+ParametersCalculation!$E$68*ParametersCalculation!$E$57</f>
        <v>0.53746157894736846</v>
      </c>
    </row>
    <row r="63" spans="1:23" ht="32.25" x14ac:dyDescent="0.25">
      <c r="A63" s="131"/>
      <c r="B63" s="114" t="s">
        <v>567</v>
      </c>
      <c r="C63" s="115">
        <f>C62+MethaneLeakageRange!C61*ParametersCalculation!$E$69</f>
        <v>0.71648223261305277</v>
      </c>
      <c r="D63" s="115">
        <f>D62+MethaneLeakageRange!D61*ParametersCalculation!$E$69</f>
        <v>0.71757909182494328</v>
      </c>
      <c r="E63" s="115">
        <f>E62+MethaneLeakageRange!E61*ParametersCalculation!$E$69</f>
        <v>0.7186721502959833</v>
      </c>
      <c r="F63" s="115">
        <f>F62+MethaneLeakageRange!F61*ParametersCalculation!$E$69</f>
        <v>0.71976140802617272</v>
      </c>
      <c r="G63" s="115">
        <f>G62+MethaneLeakageRange!G61*ParametersCalculation!$E$69</f>
        <v>0.72084686501551165</v>
      </c>
      <c r="H63" s="115">
        <f>H62+MethaneLeakageRange!H61*ParametersCalculation!$E$69</f>
        <v>0.72192852126400009</v>
      </c>
      <c r="I63" s="115">
        <f>I62+MethaneLeakageRange!I61*ParametersCalculation!$E$69</f>
        <v>0.72300637677163804</v>
      </c>
      <c r="J63" s="115">
        <f>J62+MethaneLeakageRange!J61*ParametersCalculation!$E$69</f>
        <v>0.72408043153842538</v>
      </c>
      <c r="K63" s="115">
        <f>K62+MethaneLeakageRange!K61*ParametersCalculation!$E$69</f>
        <v>0.72515068556436224</v>
      </c>
      <c r="L63" s="115">
        <f>L62+MethaneLeakageRange!L61*ParametersCalculation!$E$69</f>
        <v>0.7262171388494485</v>
      </c>
      <c r="M63" s="115">
        <f>M62+MethaneLeakageRange!M61*ParametersCalculation!$E$69</f>
        <v>0.72727979139368426</v>
      </c>
      <c r="N63" s="115">
        <f>N62+MethaneLeakageRange!N61*ParametersCalculation!$E$69</f>
        <v>0.72833864319706954</v>
      </c>
      <c r="O63" s="115">
        <f>O62+MethaneLeakageRange!O61*ParametersCalculation!$E$69</f>
        <v>0.72939369425960421</v>
      </c>
      <c r="P63" s="115">
        <f>P62+MethaneLeakageRange!P61*ParametersCalculation!$E$69</f>
        <v>0.7304449445812885</v>
      </c>
      <c r="Q63" s="115">
        <f>Q62+MethaneLeakageRange!Q61*ParametersCalculation!$E$69</f>
        <v>0.73149239416212231</v>
      </c>
      <c r="R63" s="115">
        <f>R62+MethaneLeakageRange!R61*ParametersCalculation!$E$69</f>
        <v>0.7325360430021054</v>
      </c>
      <c r="S63" s="115">
        <f>S62+MethaneLeakageRange!S61*ParametersCalculation!$E$69</f>
        <v>0.733575891101238</v>
      </c>
      <c r="T63" s="115">
        <f>T62+MethaneLeakageRange!T61*ParametersCalculation!$E$69</f>
        <v>0.73461193845952011</v>
      </c>
      <c r="U63" s="115">
        <f>U62+MethaneLeakageRange!U61*ParametersCalculation!$E$69</f>
        <v>0.73564418507695173</v>
      </c>
      <c r="V63" s="115">
        <f>V62+MethaneLeakageRange!V61*ParametersCalculation!$E$69</f>
        <v>0.73667263095353275</v>
      </c>
      <c r="W63" s="115">
        <f>W62+MethaneLeakageRange!W61*ParametersCalculation!$E$69</f>
        <v>0.73769727608926328</v>
      </c>
    </row>
    <row r="65" spans="1:23" ht="18.75" x14ac:dyDescent="0.3">
      <c r="A65" s="43" t="s">
        <v>571</v>
      </c>
    </row>
    <row r="66" spans="1:23" x14ac:dyDescent="0.25">
      <c r="A66" s="102" t="s">
        <v>560</v>
      </c>
      <c r="B66" s="102" t="s">
        <v>210</v>
      </c>
      <c r="C66" s="105" t="s">
        <v>551</v>
      </c>
      <c r="D66" s="105">
        <v>1.1000000000000001</v>
      </c>
      <c r="E66" s="105">
        <v>1.2</v>
      </c>
      <c r="F66" s="105">
        <v>1.3</v>
      </c>
      <c r="G66" s="105">
        <v>1.4</v>
      </c>
      <c r="H66" s="105">
        <v>1.5</v>
      </c>
      <c r="I66" s="105">
        <v>1.6</v>
      </c>
      <c r="J66" s="105">
        <v>1.7</v>
      </c>
      <c r="K66" s="105">
        <v>1.8</v>
      </c>
      <c r="L66" s="105">
        <v>1.9</v>
      </c>
      <c r="M66" s="110">
        <v>2</v>
      </c>
      <c r="N66" s="105">
        <v>2.1</v>
      </c>
      <c r="O66" s="110">
        <v>2.2000000000000002</v>
      </c>
      <c r="P66" s="105">
        <v>2.2999999999999998</v>
      </c>
      <c r="Q66" s="110">
        <v>2.4</v>
      </c>
      <c r="R66" s="105">
        <v>2.5</v>
      </c>
      <c r="S66" s="110">
        <v>2.6</v>
      </c>
      <c r="T66" s="105">
        <v>2.7</v>
      </c>
      <c r="U66" s="110">
        <v>2.8</v>
      </c>
      <c r="V66" s="105">
        <v>2.9</v>
      </c>
      <c r="W66" s="110">
        <v>3</v>
      </c>
    </row>
    <row r="67" spans="1:23" x14ac:dyDescent="0.25">
      <c r="A67" s="130" t="s">
        <v>572</v>
      </c>
      <c r="B67" s="51" t="s">
        <v>573</v>
      </c>
      <c r="C67" s="115">
        <f>LCI_BiomethaneMarket!C15</f>
        <v>0.01</v>
      </c>
      <c r="D67" s="115">
        <f>$C$67*D66</f>
        <v>1.1000000000000001E-2</v>
      </c>
      <c r="E67" s="115">
        <f t="shared" ref="E67:W67" si="25">$C$67*E66</f>
        <v>1.2E-2</v>
      </c>
      <c r="F67" s="115">
        <f t="shared" si="25"/>
        <v>1.3000000000000001E-2</v>
      </c>
      <c r="G67" s="115">
        <f t="shared" si="25"/>
        <v>1.3999999999999999E-2</v>
      </c>
      <c r="H67" s="115">
        <f t="shared" si="25"/>
        <v>1.4999999999999999E-2</v>
      </c>
      <c r="I67" s="115">
        <f t="shared" si="25"/>
        <v>1.6E-2</v>
      </c>
      <c r="J67" s="115">
        <f t="shared" si="25"/>
        <v>1.7000000000000001E-2</v>
      </c>
      <c r="K67" s="115">
        <f t="shared" si="25"/>
        <v>1.8000000000000002E-2</v>
      </c>
      <c r="L67" s="115">
        <f t="shared" si="25"/>
        <v>1.9E-2</v>
      </c>
      <c r="M67" s="115">
        <f t="shared" si="25"/>
        <v>0.02</v>
      </c>
      <c r="N67" s="115">
        <f t="shared" si="25"/>
        <v>2.1000000000000001E-2</v>
      </c>
      <c r="O67" s="115">
        <f t="shared" si="25"/>
        <v>2.2000000000000002E-2</v>
      </c>
      <c r="P67" s="115">
        <f t="shared" si="25"/>
        <v>2.3E-2</v>
      </c>
      <c r="Q67" s="115">
        <f t="shared" si="25"/>
        <v>2.4E-2</v>
      </c>
      <c r="R67" s="115">
        <f t="shared" si="25"/>
        <v>2.5000000000000001E-2</v>
      </c>
      <c r="S67" s="115">
        <f t="shared" si="25"/>
        <v>2.6000000000000002E-2</v>
      </c>
      <c r="T67" s="115">
        <f t="shared" si="25"/>
        <v>2.7000000000000003E-2</v>
      </c>
      <c r="U67" s="115">
        <f t="shared" si="25"/>
        <v>2.7999999999999997E-2</v>
      </c>
      <c r="V67" s="115">
        <f t="shared" si="25"/>
        <v>2.8999999999999998E-2</v>
      </c>
      <c r="W67" s="115">
        <f t="shared" si="25"/>
        <v>0.03</v>
      </c>
    </row>
    <row r="68" spans="1:23" ht="33.75" x14ac:dyDescent="0.25">
      <c r="A68" s="130"/>
      <c r="B68" s="114" t="s">
        <v>562</v>
      </c>
      <c r="C68" s="117">
        <f>LCI_BiomethaneMarket!C21</f>
        <v>6.5178749999999998E-4</v>
      </c>
      <c r="D68" s="117">
        <f>$C$68*D66</f>
        <v>7.1696625000000006E-4</v>
      </c>
      <c r="E68" s="117">
        <f t="shared" ref="E68:W68" si="26">$C$68*E66</f>
        <v>7.8214499999999993E-4</v>
      </c>
      <c r="F68" s="117">
        <f t="shared" si="26"/>
        <v>8.4732375000000002E-4</v>
      </c>
      <c r="G68" s="117">
        <f t="shared" si="26"/>
        <v>9.1250249999999988E-4</v>
      </c>
      <c r="H68" s="117">
        <f t="shared" si="26"/>
        <v>9.7768125000000008E-4</v>
      </c>
      <c r="I68" s="117">
        <f t="shared" si="26"/>
        <v>1.0428600000000001E-3</v>
      </c>
      <c r="J68" s="117">
        <f t="shared" si="26"/>
        <v>1.10803875E-3</v>
      </c>
      <c r="K68" s="117">
        <f t="shared" si="26"/>
        <v>1.1732175E-3</v>
      </c>
      <c r="L68" s="117">
        <f t="shared" si="26"/>
        <v>1.23839625E-3</v>
      </c>
      <c r="M68" s="117">
        <f t="shared" si="26"/>
        <v>1.303575E-3</v>
      </c>
      <c r="N68" s="117">
        <f t="shared" si="26"/>
        <v>1.3687537499999999E-3</v>
      </c>
      <c r="O68" s="117">
        <f t="shared" si="26"/>
        <v>1.4339325000000001E-3</v>
      </c>
      <c r="P68" s="117">
        <f t="shared" si="26"/>
        <v>1.4991112499999999E-3</v>
      </c>
      <c r="Q68" s="117">
        <f t="shared" si="26"/>
        <v>1.5642899999999999E-3</v>
      </c>
      <c r="R68" s="117">
        <f t="shared" si="26"/>
        <v>1.6294687499999998E-3</v>
      </c>
      <c r="S68" s="117">
        <f t="shared" si="26"/>
        <v>1.6946475E-3</v>
      </c>
      <c r="T68" s="117">
        <f t="shared" si="26"/>
        <v>1.75982625E-3</v>
      </c>
      <c r="U68" s="117">
        <f t="shared" si="26"/>
        <v>1.8250049999999998E-3</v>
      </c>
      <c r="V68" s="117">
        <f t="shared" si="26"/>
        <v>1.89018375E-3</v>
      </c>
      <c r="W68" s="117">
        <f t="shared" si="26"/>
        <v>1.9553625000000002E-3</v>
      </c>
    </row>
  </sheetData>
  <mergeCells count="9">
    <mergeCell ref="A67:A68"/>
    <mergeCell ref="A16:A20"/>
    <mergeCell ref="A21:A25"/>
    <mergeCell ref="A11:A15"/>
    <mergeCell ref="A8:A10"/>
    <mergeCell ref="A29:A37"/>
    <mergeCell ref="A38:A47"/>
    <mergeCell ref="A48:A55"/>
    <mergeCell ref="A56:A63"/>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FC66B-1D15-484B-A6DA-781D64E74F09}">
  <dimension ref="A1:F7"/>
  <sheetViews>
    <sheetView tabSelected="1" workbookViewId="0">
      <selection activeCell="I10" sqref="I10"/>
    </sheetView>
  </sheetViews>
  <sheetFormatPr defaultRowHeight="15" x14ac:dyDescent="0.25"/>
  <cols>
    <col min="1" max="1" width="12.42578125" customWidth="1"/>
    <col min="2" max="2" width="10.140625" bestFit="1" customWidth="1"/>
    <col min="3" max="3" width="12.140625" bestFit="1" customWidth="1"/>
    <col min="4" max="4" width="11.7109375" bestFit="1" customWidth="1"/>
    <col min="5" max="5" width="21.28515625" bestFit="1" customWidth="1"/>
  </cols>
  <sheetData>
    <row r="1" spans="1:6" x14ac:dyDescent="0.25">
      <c r="A1" t="s">
        <v>57</v>
      </c>
    </row>
    <row r="2" spans="1:6" ht="47.25" x14ac:dyDescent="0.25">
      <c r="B2" s="31" t="s">
        <v>30</v>
      </c>
      <c r="C2" s="32" t="s">
        <v>51</v>
      </c>
      <c r="D2" s="32" t="s">
        <v>53</v>
      </c>
    </row>
    <row r="3" spans="1:6" x14ac:dyDescent="0.25">
      <c r="A3" s="51" t="s">
        <v>65</v>
      </c>
      <c r="B3" s="30">
        <v>0.71699999999999997</v>
      </c>
      <c r="C3" s="29">
        <v>36.6</v>
      </c>
      <c r="D3" s="95">
        <v>47.1</v>
      </c>
      <c r="E3" s="44"/>
    </row>
    <row r="4" spans="1:6" ht="18" x14ac:dyDescent="0.35">
      <c r="A4" s="51" t="s">
        <v>28</v>
      </c>
      <c r="B4" s="30">
        <v>0.71699999999999997</v>
      </c>
      <c r="C4" s="28">
        <v>35.799999999999997</v>
      </c>
      <c r="D4" s="28">
        <v>50</v>
      </c>
      <c r="E4" s="44" t="s">
        <v>52</v>
      </c>
      <c r="F4" s="27"/>
    </row>
    <row r="5" spans="1:6" ht="18" x14ac:dyDescent="0.35">
      <c r="A5" s="51" t="s">
        <v>29</v>
      </c>
      <c r="B5" s="30">
        <v>1.9970000000000001</v>
      </c>
      <c r="C5" s="29" t="s">
        <v>31</v>
      </c>
      <c r="D5" s="29" t="s">
        <v>31</v>
      </c>
      <c r="E5" s="44" t="s">
        <v>52</v>
      </c>
      <c r="F5" s="27"/>
    </row>
    <row r="6" spans="1:6" x14ac:dyDescent="0.25">
      <c r="A6" s="34"/>
      <c r="B6" s="21"/>
      <c r="C6" s="13"/>
      <c r="D6" s="13"/>
      <c r="E6" s="44"/>
      <c r="F6" s="27"/>
    </row>
    <row r="7" spans="1:6" x14ac:dyDescent="0.25">
      <c r="A7" s="34" t="s">
        <v>159</v>
      </c>
      <c r="B7" s="27" t="s">
        <v>160</v>
      </c>
    </row>
  </sheetData>
  <hyperlinks>
    <hyperlink ref="B7" r:id="rId1" xr:uid="{33A1E869-C48B-41A2-89F4-B6BF1C1B58E4}"/>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07A7-28E8-430E-9279-30EC3B64F6B6}">
  <dimension ref="A1:A20"/>
  <sheetViews>
    <sheetView zoomScale="85" zoomScaleNormal="85" workbookViewId="0">
      <selection activeCell="A10" sqref="A10"/>
    </sheetView>
  </sheetViews>
  <sheetFormatPr defaultRowHeight="15" x14ac:dyDescent="0.25"/>
  <sheetData>
    <row r="1" spans="1:1" x14ac:dyDescent="0.25">
      <c r="A1" t="s">
        <v>57</v>
      </c>
    </row>
    <row r="2" spans="1:1" x14ac:dyDescent="0.25">
      <c r="A2" t="s">
        <v>189</v>
      </c>
    </row>
    <row r="3" spans="1:1" x14ac:dyDescent="0.25">
      <c r="A3" t="s">
        <v>186</v>
      </c>
    </row>
    <row r="4" spans="1:1" x14ac:dyDescent="0.25">
      <c r="A4" t="s">
        <v>446</v>
      </c>
    </row>
    <row r="5" spans="1:1" x14ac:dyDescent="0.25">
      <c r="A5" t="s">
        <v>194</v>
      </c>
    </row>
    <row r="6" spans="1:1" x14ac:dyDescent="0.25">
      <c r="A6" t="s">
        <v>311</v>
      </c>
    </row>
    <row r="7" spans="1:1" x14ac:dyDescent="0.25">
      <c r="A7" t="s">
        <v>132</v>
      </c>
    </row>
    <row r="8" spans="1:1" x14ac:dyDescent="0.25">
      <c r="A8" t="s">
        <v>272</v>
      </c>
    </row>
    <row r="9" spans="1:1" x14ac:dyDescent="0.25">
      <c r="A9" t="s">
        <v>371</v>
      </c>
    </row>
    <row r="10" spans="1:1" x14ac:dyDescent="0.25">
      <c r="A10" t="s">
        <v>541</v>
      </c>
    </row>
    <row r="11" spans="1:1" x14ac:dyDescent="0.25">
      <c r="A11" t="s">
        <v>260</v>
      </c>
    </row>
    <row r="12" spans="1:1" x14ac:dyDescent="0.25">
      <c r="A12" s="45" t="s">
        <v>100</v>
      </c>
    </row>
    <row r="13" spans="1:1" x14ac:dyDescent="0.25">
      <c r="A13" s="59" t="s">
        <v>198</v>
      </c>
    </row>
    <row r="14" spans="1:1" x14ac:dyDescent="0.25">
      <c r="A14" t="s">
        <v>198</v>
      </c>
    </row>
    <row r="15" spans="1:1" x14ac:dyDescent="0.25">
      <c r="A15" s="59" t="s">
        <v>206</v>
      </c>
    </row>
    <row r="16" spans="1:1" x14ac:dyDescent="0.25">
      <c r="A16" t="s">
        <v>245</v>
      </c>
    </row>
    <row r="17" spans="1:1" x14ac:dyDescent="0.25">
      <c r="A17" t="s">
        <v>262</v>
      </c>
    </row>
    <row r="18" spans="1:1" x14ac:dyDescent="0.25">
      <c r="A18" s="45" t="s">
        <v>385</v>
      </c>
    </row>
    <row r="19" spans="1:1" x14ac:dyDescent="0.25">
      <c r="A19" t="s">
        <v>188</v>
      </c>
    </row>
    <row r="20" spans="1:1" x14ac:dyDescent="0.25">
      <c r="A20" t="s">
        <v>513</v>
      </c>
    </row>
  </sheetData>
  <autoFilter ref="A1:A19" xr:uid="{41479CF1-592D-41E6-8281-D89FBC3E4281}">
    <sortState xmlns:xlrd2="http://schemas.microsoft.com/office/spreadsheetml/2017/richdata2" ref="A2:A19">
      <sortCondition ref="A1:A1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049E-82D6-4724-9B9D-A378872C1AD5}">
  <dimension ref="A1:Z37"/>
  <sheetViews>
    <sheetView zoomScale="85" zoomScaleNormal="85" workbookViewId="0">
      <selection activeCell="P20" sqref="P20"/>
    </sheetView>
  </sheetViews>
  <sheetFormatPr defaultRowHeight="15" x14ac:dyDescent="0.25"/>
  <cols>
    <col min="1" max="1" width="39.5703125" bestFit="1" customWidth="1"/>
    <col min="2" max="2" width="31.7109375" customWidth="1"/>
    <col min="3" max="3" width="17.5703125" bestFit="1" customWidth="1"/>
    <col min="5" max="5" width="24" bestFit="1" customWidth="1"/>
    <col min="6" max="6" width="12.28515625" bestFit="1" customWidth="1"/>
    <col min="7" max="7" width="11.85546875" bestFit="1" customWidth="1"/>
    <col min="8" max="8" width="12.7109375" customWidth="1"/>
    <col min="9" max="9" width="11.140625" customWidth="1"/>
    <col min="10" max="26" width="12.7109375" customWidth="1"/>
  </cols>
  <sheetData>
    <row r="1" spans="1:26" x14ac:dyDescent="0.25">
      <c r="A1" t="s">
        <v>57</v>
      </c>
    </row>
    <row r="2" spans="1:26" ht="60" x14ac:dyDescent="0.25">
      <c r="A2" s="10" t="s">
        <v>9</v>
      </c>
      <c r="B2" s="10" t="s">
        <v>10</v>
      </c>
      <c r="C2" s="10" t="s">
        <v>12</v>
      </c>
      <c r="D2" s="10" t="s">
        <v>13</v>
      </c>
      <c r="E2" s="10" t="s">
        <v>3</v>
      </c>
      <c r="F2" s="10" t="s">
        <v>5</v>
      </c>
      <c r="G2" s="10" t="s">
        <v>6</v>
      </c>
      <c r="H2" s="22" t="s">
        <v>87</v>
      </c>
      <c r="I2" s="22" t="s">
        <v>115</v>
      </c>
      <c r="J2" s="22" t="s">
        <v>88</v>
      </c>
      <c r="K2" s="22" t="s">
        <v>116</v>
      </c>
      <c r="L2" s="22" t="s">
        <v>89</v>
      </c>
      <c r="M2" s="22" t="s">
        <v>117</v>
      </c>
      <c r="N2" s="22" t="s">
        <v>90</v>
      </c>
      <c r="O2" s="22" t="s">
        <v>118</v>
      </c>
      <c r="P2" s="22" t="s">
        <v>2</v>
      </c>
      <c r="Q2" s="22"/>
      <c r="R2" s="22"/>
      <c r="S2" s="22"/>
      <c r="T2" s="22"/>
      <c r="U2" s="22"/>
      <c r="V2" s="22"/>
      <c r="W2" s="22"/>
      <c r="X2" s="22"/>
      <c r="Y2" s="22"/>
      <c r="Z2" s="22"/>
    </row>
    <row r="3" spans="1:26" x14ac:dyDescent="0.25">
      <c r="A3" s="38" t="s">
        <v>64</v>
      </c>
      <c r="B3" s="38" t="s">
        <v>126</v>
      </c>
      <c r="C3" s="38" t="s">
        <v>518</v>
      </c>
      <c r="D3" s="39"/>
      <c r="E3" s="40" t="s">
        <v>33</v>
      </c>
      <c r="F3" s="38" t="s">
        <v>14</v>
      </c>
      <c r="G3" s="38" t="s">
        <v>23</v>
      </c>
      <c r="H3" s="42">
        <v>1</v>
      </c>
      <c r="I3" s="42">
        <v>1</v>
      </c>
      <c r="J3" s="42">
        <v>1</v>
      </c>
      <c r="K3" s="42">
        <v>1</v>
      </c>
      <c r="L3" s="42">
        <v>1</v>
      </c>
      <c r="M3" s="42">
        <v>1</v>
      </c>
      <c r="N3" s="42">
        <v>1</v>
      </c>
      <c r="O3" s="42">
        <v>1</v>
      </c>
      <c r="P3" s="41" t="s">
        <v>291</v>
      </c>
      <c r="X3" s="1"/>
      <c r="Y3" s="21"/>
      <c r="Z3" s="21"/>
    </row>
    <row r="4" spans="1:26" x14ac:dyDescent="0.25">
      <c r="A4" s="1" t="s">
        <v>357</v>
      </c>
      <c r="B4" s="1" t="s">
        <v>24</v>
      </c>
      <c r="C4" s="2" t="s">
        <v>518</v>
      </c>
      <c r="D4" s="34"/>
      <c r="E4" s="35" t="s">
        <v>33</v>
      </c>
      <c r="F4" s="35" t="s">
        <v>20</v>
      </c>
      <c r="G4" s="2" t="s">
        <v>23</v>
      </c>
      <c r="H4" s="21">
        <f>ParametersCalculation!B61</f>
        <v>1.7357894736842108</v>
      </c>
      <c r="I4" s="21">
        <f>ParametersCalculation!B61</f>
        <v>1.7357894736842108</v>
      </c>
      <c r="J4" s="21">
        <f>ParametersCalculation!C61</f>
        <v>1.738578947368421</v>
      </c>
      <c r="K4" s="21">
        <f>ParametersCalculation!C61</f>
        <v>1.738578947368421</v>
      </c>
      <c r="L4" s="21">
        <f>ParametersCalculation!D61</f>
        <v>1.7187719298245616</v>
      </c>
      <c r="M4" s="21">
        <f>ParametersCalculation!D61</f>
        <v>1.7187719298245616</v>
      </c>
      <c r="N4" s="21">
        <f>ParametersCalculation!E61</f>
        <v>1.7347368421052634</v>
      </c>
      <c r="O4" s="21">
        <f>ParametersCalculation!E61</f>
        <v>1.7347368421052634</v>
      </c>
      <c r="P4" s="1"/>
    </row>
    <row r="5" spans="1:26" x14ac:dyDescent="0.25">
      <c r="A5" s="1" t="s">
        <v>36</v>
      </c>
      <c r="B5" s="1" t="s">
        <v>34</v>
      </c>
      <c r="C5" s="1" t="s">
        <v>19</v>
      </c>
      <c r="D5" s="1"/>
      <c r="E5" s="1" t="s">
        <v>33</v>
      </c>
      <c r="F5" s="1" t="s">
        <v>20</v>
      </c>
      <c r="G5" s="1" t="s">
        <v>35</v>
      </c>
      <c r="H5" s="21">
        <f>ParametersCalculation!B70</f>
        <v>0.54645305263157906</v>
      </c>
      <c r="I5" s="21">
        <f>ParametersCalculation!B71</f>
        <v>0.75319091997157916</v>
      </c>
      <c r="J5" s="21">
        <f>ParametersCalculation!C70</f>
        <v>0.33827505263157898</v>
      </c>
      <c r="K5" s="21">
        <f>ParametersCalculation!C71</f>
        <v>0.55384592748881167</v>
      </c>
      <c r="L5" s="21">
        <f>ParametersCalculation!D70</f>
        <v>0.55340157894736841</v>
      </c>
      <c r="M5" s="21">
        <f>ParametersCalculation!D71</f>
        <v>0.76026745735073686</v>
      </c>
      <c r="N5" s="21">
        <f>ParametersCalculation!E70</f>
        <v>0.51421947368421062</v>
      </c>
      <c r="O5" s="21">
        <f>ParametersCalculation!E71</f>
        <v>0.71648223261305277</v>
      </c>
      <c r="P5" s="45" t="s">
        <v>521</v>
      </c>
    </row>
    <row r="6" spans="1:26" x14ac:dyDescent="0.25">
      <c r="A6" s="1" t="s">
        <v>106</v>
      </c>
      <c r="B6" s="1" t="s">
        <v>107</v>
      </c>
      <c r="C6" s="1" t="s">
        <v>19</v>
      </c>
      <c r="D6" s="1"/>
      <c r="E6" s="1" t="s">
        <v>56</v>
      </c>
      <c r="F6" s="1" t="s">
        <v>20</v>
      </c>
      <c r="G6" s="1" t="s">
        <v>44</v>
      </c>
      <c r="H6" s="21"/>
      <c r="I6" s="37"/>
      <c r="J6" s="21">
        <f>ParametersCalculation!C72</f>
        <v>3.4423863157894741</v>
      </c>
      <c r="K6" s="21">
        <f>ParametersCalculation!C72</f>
        <v>3.4423863157894741</v>
      </c>
      <c r="L6" s="21"/>
      <c r="M6" s="37"/>
      <c r="N6" s="21"/>
      <c r="O6" s="37"/>
      <c r="P6" s="45"/>
    </row>
    <row r="7" spans="1:26" x14ac:dyDescent="0.25">
      <c r="A7" s="1" t="s">
        <v>59</v>
      </c>
      <c r="B7" s="1" t="s">
        <v>58</v>
      </c>
      <c r="C7" s="1" t="s">
        <v>19</v>
      </c>
      <c r="D7" s="1"/>
      <c r="E7" s="1" t="s">
        <v>56</v>
      </c>
      <c r="F7" s="1" t="s">
        <v>20</v>
      </c>
      <c r="G7" s="1" t="s">
        <v>7</v>
      </c>
      <c r="H7" s="21">
        <f>ParametersCalculation!B73</f>
        <v>0.17357894736842108</v>
      </c>
      <c r="I7" s="21">
        <f>ParametersCalculation!B73</f>
        <v>0.17357894736842108</v>
      </c>
      <c r="J7" s="21"/>
      <c r="K7" s="21"/>
      <c r="L7" s="21"/>
      <c r="M7" s="37"/>
      <c r="N7" s="21"/>
      <c r="O7" s="37"/>
      <c r="P7" s="45"/>
    </row>
    <row r="8" spans="1:26" x14ac:dyDescent="0.25">
      <c r="A8" s="1" t="s">
        <v>62</v>
      </c>
      <c r="B8" s="1" t="s">
        <v>61</v>
      </c>
      <c r="C8" s="1" t="s">
        <v>19</v>
      </c>
      <c r="D8" s="1"/>
      <c r="E8" s="1" t="s">
        <v>15</v>
      </c>
      <c r="F8" s="1" t="s">
        <v>20</v>
      </c>
      <c r="G8" s="1" t="s">
        <v>7</v>
      </c>
      <c r="H8" s="135"/>
      <c r="I8" s="135"/>
      <c r="J8" s="136" t="s">
        <v>574</v>
      </c>
      <c r="K8" s="136" t="s">
        <v>574</v>
      </c>
      <c r="L8" s="135"/>
      <c r="M8" s="136"/>
      <c r="N8" s="135"/>
      <c r="O8" s="136"/>
      <c r="P8" s="19" t="s">
        <v>575</v>
      </c>
    </row>
    <row r="9" spans="1:26" x14ac:dyDescent="0.25">
      <c r="A9" s="1" t="s">
        <v>108</v>
      </c>
      <c r="B9" s="1" t="s">
        <v>109</v>
      </c>
      <c r="C9" s="1" t="s">
        <v>19</v>
      </c>
      <c r="D9" s="1"/>
      <c r="E9" s="1" t="s">
        <v>15</v>
      </c>
      <c r="F9" s="1" t="s">
        <v>20</v>
      </c>
      <c r="G9" s="1" t="s">
        <v>7</v>
      </c>
      <c r="H9" s="135"/>
      <c r="I9" s="135"/>
      <c r="J9" s="136" t="s">
        <v>574</v>
      </c>
      <c r="K9" s="136" t="s">
        <v>574</v>
      </c>
      <c r="L9" s="135"/>
      <c r="M9" s="136"/>
      <c r="N9" s="136" t="s">
        <v>574</v>
      </c>
      <c r="O9" s="136" t="s">
        <v>574</v>
      </c>
      <c r="P9" s="19" t="s">
        <v>575</v>
      </c>
    </row>
    <row r="10" spans="1:26" x14ac:dyDescent="0.25">
      <c r="A10" t="s">
        <v>125</v>
      </c>
      <c r="B10" t="s">
        <v>124</v>
      </c>
      <c r="C10" s="1" t="s">
        <v>19</v>
      </c>
      <c r="D10" s="1"/>
      <c r="E10" s="1" t="s">
        <v>15</v>
      </c>
      <c r="F10" s="1" t="s">
        <v>20</v>
      </c>
      <c r="G10" s="1" t="s">
        <v>7</v>
      </c>
      <c r="H10" s="20"/>
      <c r="I10" s="20"/>
      <c r="J10" s="136" t="s">
        <v>574</v>
      </c>
      <c r="K10" s="136" t="s">
        <v>574</v>
      </c>
      <c r="L10" s="20"/>
      <c r="M10" s="20"/>
      <c r="N10" s="20"/>
      <c r="O10" s="20"/>
      <c r="P10" s="19" t="s">
        <v>575</v>
      </c>
    </row>
    <row r="11" spans="1:26" x14ac:dyDescent="0.25">
      <c r="A11" s="1" t="s">
        <v>42</v>
      </c>
      <c r="B11" s="16" t="s">
        <v>41</v>
      </c>
      <c r="C11" s="1" t="s">
        <v>19</v>
      </c>
      <c r="D11" s="1"/>
      <c r="E11" s="1" t="s">
        <v>15</v>
      </c>
      <c r="F11" s="1" t="s">
        <v>20</v>
      </c>
      <c r="G11" s="1" t="s">
        <v>7</v>
      </c>
      <c r="H11" s="136"/>
      <c r="I11" s="136"/>
      <c r="J11" s="136"/>
      <c r="K11" s="136"/>
      <c r="L11" s="136"/>
      <c r="M11" s="136"/>
      <c r="N11" s="136" t="s">
        <v>574</v>
      </c>
      <c r="O11" s="136" t="s">
        <v>574</v>
      </c>
      <c r="P11" s="19" t="s">
        <v>575</v>
      </c>
      <c r="V11" s="19"/>
    </row>
    <row r="12" spans="1:26" x14ac:dyDescent="0.25">
      <c r="A12" s="1" t="s">
        <v>135</v>
      </c>
      <c r="B12" s="16" t="s">
        <v>136</v>
      </c>
      <c r="C12" s="1" t="s">
        <v>19</v>
      </c>
      <c r="D12" s="1"/>
      <c r="E12" s="1" t="s">
        <v>15</v>
      </c>
      <c r="F12" s="1" t="s">
        <v>20</v>
      </c>
      <c r="G12" s="1" t="s">
        <v>7</v>
      </c>
      <c r="H12" s="136"/>
      <c r="I12" s="136"/>
      <c r="J12" s="136" t="s">
        <v>574</v>
      </c>
      <c r="K12" s="136" t="s">
        <v>574</v>
      </c>
      <c r="L12" s="136"/>
      <c r="M12" s="136"/>
      <c r="N12" s="136"/>
      <c r="O12" s="136"/>
      <c r="P12" s="19" t="s">
        <v>575</v>
      </c>
      <c r="V12" s="19"/>
    </row>
    <row r="13" spans="1:26" x14ac:dyDescent="0.25">
      <c r="A13" s="1" t="s">
        <v>40</v>
      </c>
      <c r="B13" s="16" t="s">
        <v>39</v>
      </c>
      <c r="C13" s="1" t="s">
        <v>19</v>
      </c>
      <c r="D13" s="1"/>
      <c r="E13" s="1" t="s">
        <v>33</v>
      </c>
      <c r="F13" s="1" t="s">
        <v>20</v>
      </c>
      <c r="G13" s="1" t="s">
        <v>7</v>
      </c>
      <c r="H13" s="136"/>
      <c r="I13" s="136"/>
      <c r="J13" s="136"/>
      <c r="K13" s="136"/>
      <c r="L13" s="136" t="s">
        <v>574</v>
      </c>
      <c r="M13" s="136" t="s">
        <v>574</v>
      </c>
      <c r="N13" s="136" t="s">
        <v>574</v>
      </c>
      <c r="O13" s="136" t="s">
        <v>574</v>
      </c>
      <c r="P13" s="19" t="s">
        <v>575</v>
      </c>
      <c r="V13" s="1"/>
    </row>
    <row r="14" spans="1:26" x14ac:dyDescent="0.25">
      <c r="A14" s="1" t="s">
        <v>133</v>
      </c>
      <c r="B14" s="16" t="s">
        <v>134</v>
      </c>
      <c r="C14" s="1" t="s">
        <v>19</v>
      </c>
      <c r="D14" s="1"/>
      <c r="E14" s="1" t="s">
        <v>15</v>
      </c>
      <c r="F14" s="1" t="s">
        <v>20</v>
      </c>
      <c r="G14" s="1" t="s">
        <v>7</v>
      </c>
      <c r="H14" s="136"/>
      <c r="I14" s="136"/>
      <c r="J14" s="136"/>
      <c r="K14" s="136"/>
      <c r="L14" s="136" t="s">
        <v>574</v>
      </c>
      <c r="M14" s="136" t="s">
        <v>574</v>
      </c>
      <c r="N14" s="136"/>
      <c r="O14" s="136"/>
      <c r="P14" s="19" t="s">
        <v>575</v>
      </c>
      <c r="V14" s="19"/>
    </row>
    <row r="15" spans="1:26" x14ac:dyDescent="0.25">
      <c r="A15" s="1" t="s">
        <v>37</v>
      </c>
      <c r="B15" s="1" t="s">
        <v>38</v>
      </c>
      <c r="C15" s="1" t="s">
        <v>19</v>
      </c>
      <c r="D15" s="1"/>
      <c r="E15" s="1" t="s">
        <v>33</v>
      </c>
      <c r="F15" s="1" t="s">
        <v>20</v>
      </c>
      <c r="G15" s="1" t="s">
        <v>6</v>
      </c>
      <c r="H15" s="136" t="s">
        <v>574</v>
      </c>
      <c r="I15" s="136" t="s">
        <v>574</v>
      </c>
      <c r="J15" s="136" t="s">
        <v>574</v>
      </c>
      <c r="K15" s="136" t="s">
        <v>574</v>
      </c>
      <c r="L15" s="136" t="s">
        <v>574</v>
      </c>
      <c r="M15" s="136" t="s">
        <v>574</v>
      </c>
      <c r="N15" s="136" t="s">
        <v>574</v>
      </c>
      <c r="O15" s="136" t="s">
        <v>574</v>
      </c>
      <c r="P15" s="19" t="s">
        <v>575</v>
      </c>
      <c r="V15" s="2"/>
      <c r="Y15" s="15"/>
      <c r="Z15" s="15"/>
    </row>
    <row r="16" spans="1:26" x14ac:dyDescent="0.25">
      <c r="A16" s="1" t="s">
        <v>378</v>
      </c>
      <c r="B16" s="1" t="s">
        <v>378</v>
      </c>
      <c r="C16" s="1" t="s">
        <v>518</v>
      </c>
      <c r="D16" s="34"/>
      <c r="E16" s="35" t="s">
        <v>33</v>
      </c>
      <c r="F16" s="35" t="s">
        <v>20</v>
      </c>
      <c r="G16" s="1" t="s">
        <v>7</v>
      </c>
      <c r="H16" s="21"/>
      <c r="I16" s="21">
        <f>ParametersCalculation!B65</f>
        <v>1.4160127900000006</v>
      </c>
      <c r="J16" s="21"/>
      <c r="K16" s="21">
        <f>ParametersCalculation!C65</f>
        <v>1.476512841487895</v>
      </c>
      <c r="L16" s="21"/>
      <c r="M16" s="21">
        <f>ParametersCalculation!D65</f>
        <v>1.4168895781052637</v>
      </c>
      <c r="N16" s="21"/>
      <c r="O16" s="21">
        <f>ParametersCalculation!E65</f>
        <v>1.3853613625263164</v>
      </c>
      <c r="P16" s="1"/>
    </row>
    <row r="17" spans="1:26" x14ac:dyDescent="0.25">
      <c r="A17" s="2" t="s">
        <v>21</v>
      </c>
      <c r="B17" s="2"/>
      <c r="C17" s="2" t="s">
        <v>16</v>
      </c>
      <c r="D17" s="12" t="s">
        <v>22</v>
      </c>
      <c r="E17" s="2"/>
      <c r="F17" s="2" t="s">
        <v>17</v>
      </c>
      <c r="G17" s="2" t="s">
        <v>7</v>
      </c>
      <c r="H17" s="21">
        <f>ParametersCalculation!B63</f>
        <v>1.4458235855789479</v>
      </c>
      <c r="I17" s="21">
        <f>ParametersCalculation!B64</f>
        <v>2.9810795578947384E-2</v>
      </c>
      <c r="J17" s="21">
        <f>ParametersCalculation!C63</f>
        <v>1.4780057766157897</v>
      </c>
      <c r="K17" s="37">
        <f>ParametersCalculation!C64</f>
        <v>1.4929351278947373E-3</v>
      </c>
      <c r="L17" s="21">
        <f>ParametersCalculation!D63</f>
        <v>1.4316488445438602</v>
      </c>
      <c r="M17" s="21">
        <f>ParametersCalculation!D64</f>
        <v>1.4759266438596498E-2</v>
      </c>
      <c r="N17" s="21">
        <f>ParametersCalculation!E63</f>
        <v>1.4300504387368427</v>
      </c>
      <c r="O17" s="21">
        <f>ParametersCalculation!E64</f>
        <v>4.4689076210526334E-2</v>
      </c>
      <c r="P17" s="1"/>
      <c r="V17" s="19"/>
    </row>
    <row r="18" spans="1:26" x14ac:dyDescent="0.25">
      <c r="A18" s="1" t="s">
        <v>32</v>
      </c>
      <c r="B18" s="3"/>
      <c r="C18" s="2" t="s">
        <v>16</v>
      </c>
      <c r="D18" s="12" t="s">
        <v>22</v>
      </c>
      <c r="E18" s="1"/>
      <c r="F18" s="2" t="s">
        <v>17</v>
      </c>
      <c r="G18" s="2" t="s">
        <v>7</v>
      </c>
      <c r="H18" s="21">
        <f>ParametersCalculation!B62</f>
        <v>1.4187996E-2</v>
      </c>
      <c r="I18" s="21">
        <f>ParametersCalculation!B62</f>
        <v>1.4187996E-2</v>
      </c>
      <c r="J18" s="21">
        <f>ParametersCalculation!C62</f>
        <v>7.1053982999999999E-4</v>
      </c>
      <c r="K18" s="21">
        <f>ParametersCalculation!C62</f>
        <v>7.1053982999999999E-4</v>
      </c>
      <c r="L18" s="21">
        <f>ParametersCalculation!D62</f>
        <v>7.0244489999999995E-3</v>
      </c>
      <c r="M18" s="21">
        <f>ParametersCalculation!D62</f>
        <v>7.0244489999999995E-3</v>
      </c>
      <c r="N18" s="21">
        <f>ParametersCalculation!E62</f>
        <v>2.1269087999999998E-2</v>
      </c>
      <c r="O18" s="21">
        <f>ParametersCalculation!E62</f>
        <v>2.1269087999999998E-2</v>
      </c>
      <c r="P18" s="1"/>
      <c r="V18" s="20"/>
      <c r="Y18" s="15"/>
      <c r="Z18" s="15"/>
    </row>
    <row r="19" spans="1:26" x14ac:dyDescent="0.25">
      <c r="A19" s="8" t="s">
        <v>43</v>
      </c>
      <c r="B19" s="2"/>
      <c r="C19" s="1" t="s">
        <v>16</v>
      </c>
      <c r="D19" s="8" t="s">
        <v>25</v>
      </c>
      <c r="E19" s="2"/>
      <c r="F19" s="2" t="s">
        <v>17</v>
      </c>
      <c r="G19" s="1" t="s">
        <v>7</v>
      </c>
      <c r="H19" s="20"/>
      <c r="I19" s="20"/>
      <c r="J19" s="136" t="s">
        <v>574</v>
      </c>
      <c r="K19" s="136" t="s">
        <v>574</v>
      </c>
      <c r="L19" s="136" t="s">
        <v>574</v>
      </c>
      <c r="M19" s="136" t="s">
        <v>574</v>
      </c>
      <c r="N19" s="136" t="s">
        <v>574</v>
      </c>
      <c r="O19" s="136" t="s">
        <v>574</v>
      </c>
      <c r="P19" s="19" t="s">
        <v>575</v>
      </c>
      <c r="V19" s="20"/>
      <c r="Y19" s="15"/>
      <c r="Z19" s="15"/>
    </row>
    <row r="20" spans="1:26" x14ac:dyDescent="0.25">
      <c r="A20" s="8" t="s">
        <v>45</v>
      </c>
      <c r="B20" s="1"/>
      <c r="C20" s="1" t="s">
        <v>16</v>
      </c>
      <c r="D20" s="8" t="s">
        <v>22</v>
      </c>
      <c r="E20" s="1"/>
      <c r="F20" s="2" t="s">
        <v>17</v>
      </c>
      <c r="G20" s="1" t="s">
        <v>44</v>
      </c>
      <c r="H20" s="136"/>
      <c r="I20" s="136"/>
      <c r="J20" s="136" t="s">
        <v>574</v>
      </c>
      <c r="K20" s="136" t="s">
        <v>574</v>
      </c>
      <c r="L20" s="136" t="s">
        <v>574</v>
      </c>
      <c r="M20" s="136" t="s">
        <v>574</v>
      </c>
      <c r="N20" s="136" t="s">
        <v>574</v>
      </c>
      <c r="O20" s="136" t="s">
        <v>574</v>
      </c>
      <c r="P20" s="19" t="s">
        <v>575</v>
      </c>
      <c r="V20" s="20"/>
    </row>
    <row r="21" spans="1:26" x14ac:dyDescent="0.25">
      <c r="A21" s="8" t="s">
        <v>46</v>
      </c>
      <c r="B21" s="1"/>
      <c r="C21" s="1" t="s">
        <v>16</v>
      </c>
      <c r="D21" s="8" t="s">
        <v>22</v>
      </c>
      <c r="E21" s="1"/>
      <c r="F21" s="2" t="s">
        <v>17</v>
      </c>
      <c r="G21" s="1" t="s">
        <v>7</v>
      </c>
      <c r="H21" s="136"/>
      <c r="I21" s="136"/>
      <c r="J21" s="136" t="s">
        <v>574</v>
      </c>
      <c r="K21" s="136" t="s">
        <v>574</v>
      </c>
      <c r="L21" s="136" t="s">
        <v>574</v>
      </c>
      <c r="M21" s="136" t="s">
        <v>574</v>
      </c>
      <c r="N21" s="136" t="s">
        <v>574</v>
      </c>
      <c r="O21" s="136" t="s">
        <v>574</v>
      </c>
      <c r="P21" s="19" t="s">
        <v>575</v>
      </c>
      <c r="V21" s="20"/>
    </row>
    <row r="22" spans="1:26" x14ac:dyDescent="0.25">
      <c r="A22" s="8" t="s">
        <v>47</v>
      </c>
      <c r="B22" s="1"/>
      <c r="C22" s="1" t="s">
        <v>16</v>
      </c>
      <c r="D22" s="8" t="s">
        <v>22</v>
      </c>
      <c r="E22" s="1"/>
      <c r="F22" s="2" t="s">
        <v>17</v>
      </c>
      <c r="G22" s="1" t="s">
        <v>7</v>
      </c>
      <c r="H22" s="136"/>
      <c r="I22" s="136"/>
      <c r="J22" s="136" t="s">
        <v>574</v>
      </c>
      <c r="K22" s="136" t="s">
        <v>574</v>
      </c>
      <c r="L22" s="136" t="s">
        <v>574</v>
      </c>
      <c r="M22" s="136" t="s">
        <v>574</v>
      </c>
      <c r="N22" s="136" t="s">
        <v>574</v>
      </c>
      <c r="O22" s="136" t="s">
        <v>574</v>
      </c>
      <c r="P22" s="19" t="s">
        <v>575</v>
      </c>
      <c r="V22" s="20"/>
    </row>
    <row r="23" spans="1:26" x14ac:dyDescent="0.25">
      <c r="A23" s="36" t="s">
        <v>63</v>
      </c>
      <c r="C23" s="1" t="s">
        <v>16</v>
      </c>
      <c r="D23" s="8" t="s">
        <v>22</v>
      </c>
      <c r="F23" s="2" t="s">
        <v>17</v>
      </c>
      <c r="G23" s="1" t="s">
        <v>7</v>
      </c>
      <c r="H23" s="37"/>
      <c r="I23" s="37"/>
      <c r="J23" s="15">
        <f>0.007*J4</f>
        <v>1.2170052631578948E-2</v>
      </c>
      <c r="K23" s="15">
        <f>0.007*K4</f>
        <v>1.2170052631578948E-2</v>
      </c>
      <c r="L23" s="37"/>
      <c r="M23" s="37"/>
      <c r="N23" s="37"/>
      <c r="O23" s="37"/>
      <c r="P23" s="35" t="s">
        <v>131</v>
      </c>
      <c r="V23" s="20"/>
    </row>
    <row r="24" spans="1:26" x14ac:dyDescent="0.25">
      <c r="A24" s="36" t="s">
        <v>130</v>
      </c>
      <c r="C24" s="1" t="s">
        <v>16</v>
      </c>
      <c r="D24" s="8" t="s">
        <v>22</v>
      </c>
      <c r="F24" s="2" t="s">
        <v>17</v>
      </c>
      <c r="G24" s="1" t="s">
        <v>7</v>
      </c>
      <c r="H24" s="37"/>
      <c r="I24" s="37"/>
      <c r="J24" s="15">
        <f>0.184*J4</f>
        <v>0.31989852631578947</v>
      </c>
      <c r="K24" s="15">
        <f>0.184*K4</f>
        <v>0.31989852631578947</v>
      </c>
      <c r="L24" s="37"/>
      <c r="M24" s="37"/>
      <c r="N24" s="37"/>
      <c r="O24" s="37"/>
      <c r="P24" s="35" t="s">
        <v>131</v>
      </c>
      <c r="V24" s="20"/>
    </row>
    <row r="25" spans="1:26" x14ac:dyDescent="0.25">
      <c r="A25" s="36"/>
      <c r="C25" s="35"/>
      <c r="D25" s="35"/>
      <c r="G25" s="35"/>
      <c r="H25" s="37"/>
      <c r="I25" s="37"/>
      <c r="J25" s="37"/>
      <c r="K25" s="37"/>
      <c r="L25" s="37"/>
      <c r="M25" s="37"/>
      <c r="N25" s="37"/>
      <c r="O25" s="37"/>
      <c r="P25" s="35"/>
      <c r="V25" s="20"/>
    </row>
    <row r="26" spans="1:26" x14ac:dyDescent="0.25">
      <c r="A26" s="36"/>
      <c r="C26" s="35"/>
      <c r="G26" s="35"/>
      <c r="H26" s="13"/>
      <c r="I26" s="13"/>
      <c r="J26" s="13"/>
      <c r="K26" s="13"/>
      <c r="L26" s="13"/>
      <c r="M26" s="37"/>
      <c r="N26" s="37"/>
      <c r="O26" s="37"/>
      <c r="P26" s="35"/>
      <c r="V26" s="20"/>
    </row>
    <row r="27" spans="1:26" x14ac:dyDescent="0.25">
      <c r="A27" s="36"/>
      <c r="C27" s="35"/>
      <c r="D27" s="35"/>
      <c r="G27" s="35"/>
      <c r="H27" s="37"/>
      <c r="I27" s="37"/>
      <c r="J27" s="37"/>
      <c r="K27" s="37"/>
      <c r="L27" s="37"/>
      <c r="M27" s="37"/>
      <c r="N27" s="37"/>
      <c r="O27" s="37"/>
      <c r="P27" s="35"/>
      <c r="V27" s="20"/>
    </row>
    <row r="28" spans="1:26" x14ac:dyDescent="0.25">
      <c r="A28" s="36"/>
      <c r="C28" s="35"/>
      <c r="D28" s="35"/>
      <c r="G28" s="35"/>
      <c r="H28" s="37"/>
      <c r="I28" s="37"/>
      <c r="J28" s="37"/>
      <c r="K28" s="37"/>
      <c r="L28" s="37"/>
      <c r="M28" s="37"/>
      <c r="N28" s="37"/>
      <c r="O28" s="37"/>
      <c r="P28" s="35"/>
      <c r="V28" s="20"/>
    </row>
    <row r="29" spans="1:26" x14ac:dyDescent="0.25">
      <c r="A29" s="36"/>
      <c r="C29" s="35"/>
      <c r="D29" s="35"/>
      <c r="G29" s="35"/>
      <c r="H29" s="37"/>
      <c r="I29" s="37"/>
      <c r="J29" s="37"/>
      <c r="K29" s="37"/>
      <c r="L29" s="37"/>
      <c r="M29" s="37"/>
      <c r="N29" s="37"/>
      <c r="O29" s="37"/>
      <c r="P29" s="35"/>
      <c r="V29" s="20"/>
    </row>
    <row r="30" spans="1:26" x14ac:dyDescent="0.25">
      <c r="A30" s="36"/>
      <c r="C30" s="35"/>
      <c r="D30" s="35"/>
      <c r="G30" s="35"/>
      <c r="H30" s="37"/>
      <c r="I30" s="37"/>
      <c r="J30" s="37"/>
      <c r="K30" s="37"/>
      <c r="L30" s="37"/>
      <c r="M30" s="37"/>
      <c r="N30" s="37"/>
      <c r="O30" s="37"/>
      <c r="P30" s="35"/>
      <c r="V30" s="20"/>
    </row>
    <row r="31" spans="1:26" x14ac:dyDescent="0.25">
      <c r="A31" s="36"/>
      <c r="C31" s="35"/>
      <c r="D31" s="35"/>
      <c r="G31" s="35"/>
      <c r="H31" s="37"/>
      <c r="I31" s="37"/>
      <c r="J31" s="37"/>
      <c r="K31" s="37"/>
      <c r="L31" s="37"/>
      <c r="M31" s="37"/>
      <c r="N31" s="37"/>
      <c r="O31" s="37"/>
      <c r="P31" s="35"/>
      <c r="V31" s="20"/>
    </row>
    <row r="32" spans="1:26" x14ac:dyDescent="0.25">
      <c r="A32" s="36"/>
      <c r="C32" s="35"/>
      <c r="D32" s="35"/>
      <c r="G32" s="35"/>
      <c r="H32" s="37"/>
      <c r="I32" s="37"/>
      <c r="J32" s="37"/>
      <c r="K32" s="37"/>
      <c r="L32" s="37"/>
      <c r="M32" s="37"/>
      <c r="N32" s="37"/>
      <c r="O32" s="37"/>
      <c r="P32" s="35"/>
      <c r="V32" s="20"/>
    </row>
    <row r="33" spans="1:22" x14ac:dyDescent="0.25">
      <c r="A33" s="36"/>
      <c r="C33" s="35"/>
      <c r="D33" s="35"/>
      <c r="G33" s="35"/>
      <c r="H33" s="37"/>
      <c r="I33" s="37"/>
      <c r="J33" s="37"/>
      <c r="K33" s="37"/>
      <c r="L33" s="37"/>
      <c r="M33" s="37"/>
      <c r="N33" s="37"/>
      <c r="O33" s="37"/>
      <c r="P33" s="35"/>
      <c r="V33" s="20"/>
    </row>
    <row r="34" spans="1:22" x14ac:dyDescent="0.25">
      <c r="A34" s="36"/>
      <c r="C34" s="35"/>
      <c r="D34" s="35"/>
      <c r="G34" s="35"/>
      <c r="H34" s="37"/>
      <c r="I34" s="37"/>
      <c r="J34" s="37"/>
      <c r="K34" s="37"/>
      <c r="L34" s="37"/>
      <c r="M34" s="37"/>
      <c r="N34" s="37"/>
      <c r="O34" s="37"/>
      <c r="P34" s="35"/>
      <c r="V34" s="20"/>
    </row>
    <row r="35" spans="1:22" x14ac:dyDescent="0.25">
      <c r="A35" s="36"/>
      <c r="C35" s="35"/>
      <c r="D35" s="35"/>
      <c r="G35" s="35"/>
      <c r="H35" s="37"/>
      <c r="I35" s="37"/>
      <c r="J35" s="37"/>
      <c r="K35" s="37"/>
      <c r="L35" s="37"/>
      <c r="M35" s="37"/>
      <c r="N35" s="37"/>
      <c r="O35" s="37"/>
      <c r="P35" s="35"/>
      <c r="V35" s="20"/>
    </row>
    <row r="36" spans="1:22" x14ac:dyDescent="0.25">
      <c r="A36" s="36"/>
      <c r="C36" s="35"/>
      <c r="D36" s="35"/>
      <c r="G36" s="35"/>
      <c r="H36" s="37"/>
      <c r="I36" s="37"/>
      <c r="J36" s="37"/>
      <c r="K36" s="37"/>
      <c r="L36" s="37"/>
      <c r="M36" s="37"/>
      <c r="N36" s="37"/>
      <c r="O36" s="37"/>
      <c r="P36" s="35"/>
      <c r="V36" s="20"/>
    </row>
    <row r="37" spans="1:22" x14ac:dyDescent="0.25">
      <c r="A37" s="36"/>
      <c r="C37" s="35"/>
      <c r="D37" s="35"/>
      <c r="G37" s="35"/>
      <c r="H37" s="37"/>
      <c r="I37" s="37"/>
      <c r="J37" s="37"/>
      <c r="K37" s="37"/>
      <c r="L37" s="37"/>
      <c r="M37" s="37"/>
      <c r="N37" s="37"/>
      <c r="O37" s="37"/>
      <c r="P37" s="35"/>
      <c r="V37" s="2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E2EE4-7E95-4252-A090-642F19C61CDD}">
  <dimension ref="A1:K53"/>
  <sheetViews>
    <sheetView zoomScale="85" zoomScaleNormal="85" workbookViewId="0">
      <selection activeCell="F35" sqref="F35"/>
    </sheetView>
  </sheetViews>
  <sheetFormatPr defaultRowHeight="15" x14ac:dyDescent="0.25"/>
  <cols>
    <col min="1" max="1" width="58.140625" customWidth="1"/>
    <col min="2" max="2" width="23.7109375" customWidth="1"/>
    <col min="4" max="4" width="10.5703125" bestFit="1" customWidth="1"/>
    <col min="5" max="5" width="17.5703125" bestFit="1" customWidth="1"/>
    <col min="7" max="7" width="24" bestFit="1" customWidth="1"/>
    <col min="8" max="8" width="13.85546875" bestFit="1" customWidth="1"/>
  </cols>
  <sheetData>
    <row r="1" spans="1:11" s="2" customFormat="1" x14ac:dyDescent="0.25">
      <c r="A1" s="4" t="s">
        <v>1</v>
      </c>
      <c r="B1" s="4" t="s">
        <v>127</v>
      </c>
      <c r="C1" s="7"/>
    </row>
    <row r="2" spans="1:11" s="2" customFormat="1" x14ac:dyDescent="0.25">
      <c r="A2" s="4" t="s">
        <v>2</v>
      </c>
      <c r="B2" s="2" t="s">
        <v>221</v>
      </c>
      <c r="C2" s="7"/>
    </row>
    <row r="3" spans="1:11" s="2" customFormat="1" x14ac:dyDescent="0.25">
      <c r="A3" s="4" t="s">
        <v>3</v>
      </c>
      <c r="B3" s="2" t="s">
        <v>33</v>
      </c>
      <c r="C3" s="7"/>
    </row>
    <row r="4" spans="1:11" s="2" customFormat="1" x14ac:dyDescent="0.25">
      <c r="A4" s="10" t="s">
        <v>10</v>
      </c>
      <c r="B4" s="1" t="s">
        <v>126</v>
      </c>
      <c r="C4" s="7"/>
    </row>
    <row r="5" spans="1:11" s="2" customFormat="1" x14ac:dyDescent="0.25">
      <c r="A5" s="4" t="s">
        <v>4</v>
      </c>
      <c r="B5" s="8">
        <v>1</v>
      </c>
      <c r="C5" s="7"/>
      <c r="D5" s="5"/>
    </row>
    <row r="6" spans="1:11" s="2" customFormat="1" x14ac:dyDescent="0.25">
      <c r="A6" s="4" t="s">
        <v>6</v>
      </c>
      <c r="B6" s="2" t="s">
        <v>23</v>
      </c>
      <c r="C6" s="7"/>
      <c r="D6" s="5"/>
    </row>
    <row r="7" spans="1:11" s="2" customFormat="1" x14ac:dyDescent="0.25">
      <c r="A7" s="4" t="s">
        <v>18</v>
      </c>
      <c r="C7" s="7"/>
      <c r="D7" s="5"/>
    </row>
    <row r="8" spans="1:11" s="2" customFormat="1" x14ac:dyDescent="0.25">
      <c r="A8" s="4" t="s">
        <v>8</v>
      </c>
      <c r="C8" s="7"/>
    </row>
    <row r="9" spans="1:11" s="2" customFormat="1" x14ac:dyDescent="0.25">
      <c r="A9" s="4" t="s">
        <v>9</v>
      </c>
      <c r="B9" s="4" t="s">
        <v>10</v>
      </c>
      <c r="C9" s="9" t="s">
        <v>11</v>
      </c>
      <c r="D9" s="4" t="s">
        <v>6</v>
      </c>
      <c r="E9" s="4" t="s">
        <v>12</v>
      </c>
      <c r="F9" s="4" t="s">
        <v>13</v>
      </c>
      <c r="G9" s="4" t="s">
        <v>3</v>
      </c>
      <c r="H9" s="4" t="s">
        <v>5</v>
      </c>
      <c r="I9" s="4" t="s">
        <v>2</v>
      </c>
    </row>
    <row r="10" spans="1:11" s="2" customFormat="1" x14ac:dyDescent="0.25">
      <c r="A10" s="1" t="s">
        <v>127</v>
      </c>
      <c r="B10" s="1" t="s">
        <v>126</v>
      </c>
      <c r="C10" s="16">
        <v>1</v>
      </c>
      <c r="D10" s="2" t="s">
        <v>23</v>
      </c>
      <c r="E10" s="1" t="s">
        <v>518</v>
      </c>
      <c r="F10" s="1"/>
      <c r="G10" s="1" t="s">
        <v>33</v>
      </c>
      <c r="H10" s="1" t="s">
        <v>14</v>
      </c>
      <c r="I10" s="1"/>
      <c r="J10" s="1"/>
      <c r="K10" s="1"/>
    </row>
    <row r="11" spans="1:11" s="2" customFormat="1" x14ac:dyDescent="0.25">
      <c r="A11" s="1" t="s">
        <v>85</v>
      </c>
      <c r="B11" s="1" t="s">
        <v>126</v>
      </c>
      <c r="C11" s="16">
        <f>ParametersCalculation!B75</f>
        <v>0.32258064516129031</v>
      </c>
      <c r="D11" s="2" t="s">
        <v>23</v>
      </c>
      <c r="E11" s="1" t="s">
        <v>518</v>
      </c>
      <c r="F11" s="1"/>
      <c r="G11" s="1" t="s">
        <v>33</v>
      </c>
      <c r="H11" s="1" t="s">
        <v>20</v>
      </c>
      <c r="I11" s="1" t="s">
        <v>520</v>
      </c>
      <c r="J11" s="1"/>
      <c r="K11" s="1"/>
    </row>
    <row r="12" spans="1:11" x14ac:dyDescent="0.25">
      <c r="A12" s="1" t="s">
        <v>86</v>
      </c>
      <c r="B12" s="1" t="s">
        <v>126</v>
      </c>
      <c r="C12" s="16">
        <f>ParametersCalculation!C75</f>
        <v>0.31182795698924726</v>
      </c>
      <c r="D12" s="2" t="s">
        <v>23</v>
      </c>
      <c r="E12" s="1" t="s">
        <v>518</v>
      </c>
      <c r="F12" s="1"/>
      <c r="G12" s="1" t="s">
        <v>33</v>
      </c>
      <c r="H12" s="1" t="s">
        <v>20</v>
      </c>
      <c r="I12" s="1" t="s">
        <v>520</v>
      </c>
    </row>
    <row r="13" spans="1:11" x14ac:dyDescent="0.25">
      <c r="A13" s="1" t="s">
        <v>84</v>
      </c>
      <c r="B13" s="1" t="s">
        <v>126</v>
      </c>
      <c r="C13" s="16">
        <f>ParametersCalculation!D75</f>
        <v>0.23655913978494622</v>
      </c>
      <c r="D13" s="2" t="s">
        <v>23</v>
      </c>
      <c r="E13" s="1" t="s">
        <v>518</v>
      </c>
      <c r="F13" s="1"/>
      <c r="G13" s="1" t="s">
        <v>33</v>
      </c>
      <c r="H13" s="1" t="s">
        <v>20</v>
      </c>
      <c r="I13" s="1" t="s">
        <v>520</v>
      </c>
    </row>
    <row r="14" spans="1:11" x14ac:dyDescent="0.25">
      <c r="A14" s="1" t="s">
        <v>26</v>
      </c>
      <c r="B14" s="1" t="s">
        <v>126</v>
      </c>
      <c r="C14" s="16">
        <f>ParametersCalculation!E75</f>
        <v>0.12903225806451613</v>
      </c>
      <c r="D14" s="2" t="s">
        <v>23</v>
      </c>
      <c r="E14" s="1" t="s">
        <v>518</v>
      </c>
      <c r="F14" s="1"/>
      <c r="G14" s="1" t="s">
        <v>33</v>
      </c>
      <c r="H14" s="1" t="s">
        <v>20</v>
      </c>
      <c r="I14" s="1" t="s">
        <v>520</v>
      </c>
    </row>
    <row r="15" spans="1:11" s="2" customFormat="1" x14ac:dyDescent="0.25">
      <c r="A15" s="1" t="s">
        <v>127</v>
      </c>
      <c r="B15" s="1" t="s">
        <v>126</v>
      </c>
      <c r="C15" s="16">
        <v>0.01</v>
      </c>
      <c r="D15" s="2" t="s">
        <v>23</v>
      </c>
      <c r="E15" s="1" t="s">
        <v>518</v>
      </c>
      <c r="F15" s="1"/>
      <c r="G15" s="1" t="s">
        <v>33</v>
      </c>
      <c r="H15" s="1" t="s">
        <v>20</v>
      </c>
      <c r="I15" s="1" t="s">
        <v>547</v>
      </c>
      <c r="J15" s="1"/>
      <c r="K15" s="1"/>
    </row>
    <row r="16" spans="1:11" x14ac:dyDescent="0.25">
      <c r="A16" s="1" t="s">
        <v>36</v>
      </c>
      <c r="B16" s="1" t="s">
        <v>34</v>
      </c>
      <c r="C16" s="7">
        <v>4.1907810000000001E-4</v>
      </c>
      <c r="D16" s="2" t="s">
        <v>35</v>
      </c>
      <c r="E16" s="1" t="s">
        <v>19</v>
      </c>
      <c r="F16" s="1"/>
      <c r="G16" s="1" t="s">
        <v>33</v>
      </c>
      <c r="H16" s="1" t="s">
        <v>20</v>
      </c>
      <c r="I16" s="1" t="s">
        <v>548</v>
      </c>
    </row>
    <row r="17" spans="1:11" x14ac:dyDescent="0.25">
      <c r="A17" s="1" t="s">
        <v>205</v>
      </c>
      <c r="B17" s="1" t="s">
        <v>174</v>
      </c>
      <c r="C17" s="16">
        <v>0.15974450000000001</v>
      </c>
      <c r="D17" s="2" t="s">
        <v>44</v>
      </c>
      <c r="E17" s="1" t="s">
        <v>19</v>
      </c>
      <c r="F17" s="1"/>
      <c r="G17" s="1" t="s">
        <v>56</v>
      </c>
      <c r="H17" s="1" t="s">
        <v>20</v>
      </c>
      <c r="I17" s="1" t="s">
        <v>548</v>
      </c>
    </row>
    <row r="18" spans="1:11" x14ac:dyDescent="0.25">
      <c r="A18" s="1" t="s">
        <v>202</v>
      </c>
      <c r="B18" s="1" t="s">
        <v>203</v>
      </c>
      <c r="C18" s="16">
        <v>7.4967039999999999E-2</v>
      </c>
      <c r="D18" s="2" t="s">
        <v>204</v>
      </c>
      <c r="E18" s="1" t="s">
        <v>19</v>
      </c>
      <c r="F18" s="1"/>
      <c r="G18" s="1" t="s">
        <v>33</v>
      </c>
      <c r="H18" s="1" t="s">
        <v>20</v>
      </c>
      <c r="I18" s="1" t="s">
        <v>548</v>
      </c>
    </row>
    <row r="19" spans="1:11" x14ac:dyDescent="0.25">
      <c r="A19" s="1" t="s">
        <v>200</v>
      </c>
      <c r="B19" s="1" t="s">
        <v>199</v>
      </c>
      <c r="C19" s="7">
        <v>3.9104419999999999E-8</v>
      </c>
      <c r="D19" s="2" t="s">
        <v>201</v>
      </c>
      <c r="E19" s="1" t="s">
        <v>19</v>
      </c>
      <c r="F19" s="1"/>
      <c r="G19" s="1" t="s">
        <v>56</v>
      </c>
      <c r="H19" s="1" t="s">
        <v>20</v>
      </c>
      <c r="I19" s="1" t="s">
        <v>548</v>
      </c>
    </row>
    <row r="20" spans="1:11" s="2" customFormat="1" x14ac:dyDescent="0.25">
      <c r="A20" s="1" t="s">
        <v>21</v>
      </c>
      <c r="B20" s="1"/>
      <c r="C20" s="7">
        <v>2.0719339999999999E-5</v>
      </c>
      <c r="D20" s="2" t="s">
        <v>7</v>
      </c>
      <c r="E20" s="2" t="s">
        <v>16</v>
      </c>
      <c r="F20" s="1" t="s">
        <v>22</v>
      </c>
      <c r="G20" s="1"/>
      <c r="H20" s="2" t="s">
        <v>17</v>
      </c>
      <c r="I20" s="1" t="s">
        <v>548</v>
      </c>
      <c r="J20" s="1"/>
      <c r="K20" s="1"/>
    </row>
    <row r="21" spans="1:11" s="2" customFormat="1" x14ac:dyDescent="0.25">
      <c r="A21" s="1" t="s">
        <v>32</v>
      </c>
      <c r="B21" s="1"/>
      <c r="C21" s="7">
        <v>6.5178749999999998E-4</v>
      </c>
      <c r="D21" s="2" t="s">
        <v>7</v>
      </c>
      <c r="E21" s="2" t="s">
        <v>16</v>
      </c>
      <c r="F21" s="1" t="s">
        <v>22</v>
      </c>
      <c r="G21" s="1"/>
      <c r="H21" s="2" t="s">
        <v>17</v>
      </c>
      <c r="I21" s="1" t="s">
        <v>548</v>
      </c>
      <c r="J21" s="1"/>
      <c r="K21" s="1"/>
    </row>
    <row r="22" spans="1:11" s="2" customFormat="1" x14ac:dyDescent="0.25">
      <c r="A22" s="1" t="s">
        <v>328</v>
      </c>
      <c r="B22" s="1"/>
      <c r="C22" s="7">
        <v>5.0085560000000003E-7</v>
      </c>
      <c r="D22" s="2" t="s">
        <v>7</v>
      </c>
      <c r="E22" s="2" t="s">
        <v>16</v>
      </c>
      <c r="F22" s="1" t="s">
        <v>22</v>
      </c>
      <c r="G22" s="1"/>
      <c r="H22" s="2" t="s">
        <v>17</v>
      </c>
      <c r="I22" s="1" t="s">
        <v>548</v>
      </c>
      <c r="J22" s="1"/>
      <c r="K22" s="1"/>
    </row>
    <row r="23" spans="1:11" s="2" customFormat="1" x14ac:dyDescent="0.25">
      <c r="A23" s="1" t="s">
        <v>153</v>
      </c>
      <c r="B23" s="1"/>
      <c r="C23" s="7">
        <v>1.1419419999999999E-5</v>
      </c>
      <c r="D23" s="2" t="s">
        <v>7</v>
      </c>
      <c r="E23" s="2" t="s">
        <v>16</v>
      </c>
      <c r="F23" s="1" t="s">
        <v>22</v>
      </c>
      <c r="G23" s="1"/>
      <c r="H23" s="2" t="s">
        <v>17</v>
      </c>
      <c r="I23" s="1" t="s">
        <v>548</v>
      </c>
      <c r="J23" s="1"/>
      <c r="K23" s="1"/>
    </row>
    <row r="24" spans="1:11" s="2" customFormat="1" x14ac:dyDescent="0.25">
      <c r="A24" s="1" t="s">
        <v>154</v>
      </c>
      <c r="B24" s="1"/>
      <c r="C24" s="7">
        <v>5.817568E-6</v>
      </c>
      <c r="D24" s="2" t="s">
        <v>7</v>
      </c>
      <c r="E24" s="2" t="s">
        <v>16</v>
      </c>
      <c r="F24" s="1" t="s">
        <v>22</v>
      </c>
      <c r="G24" s="1"/>
      <c r="H24" s="2" t="s">
        <v>17</v>
      </c>
      <c r="I24" s="1" t="s">
        <v>548</v>
      </c>
      <c r="J24" s="1"/>
      <c r="K24" s="1"/>
    </row>
    <row r="25" spans="1:11" x14ac:dyDescent="0.25">
      <c r="A25" s="1" t="s">
        <v>223</v>
      </c>
      <c r="B25" s="1"/>
      <c r="C25" s="7">
        <v>5.0452630000000001E-5</v>
      </c>
      <c r="D25" s="2" t="s">
        <v>7</v>
      </c>
      <c r="E25" s="2" t="s">
        <v>16</v>
      </c>
      <c r="F25" s="1" t="s">
        <v>22</v>
      </c>
      <c r="G25" s="1"/>
      <c r="H25" s="2" t="s">
        <v>17</v>
      </c>
      <c r="I25" s="1" t="s">
        <v>548</v>
      </c>
    </row>
    <row r="26" spans="1:11" x14ac:dyDescent="0.25">
      <c r="A26" s="1" t="s">
        <v>522</v>
      </c>
      <c r="B26" s="1"/>
      <c r="C26" s="7">
        <v>8.3725830000000004E-13</v>
      </c>
      <c r="D26" s="2" t="s">
        <v>7</v>
      </c>
      <c r="E26" s="2" t="s">
        <v>16</v>
      </c>
      <c r="F26" s="1" t="s">
        <v>22</v>
      </c>
      <c r="G26" s="1"/>
      <c r="H26" s="2" t="s">
        <v>17</v>
      </c>
      <c r="I26" s="1" t="s">
        <v>548</v>
      </c>
    </row>
    <row r="27" spans="1:11" s="6" customFormat="1" x14ac:dyDescent="0.25">
      <c r="C27" s="11"/>
    </row>
    <row r="28" spans="1:11" s="2" customFormat="1" x14ac:dyDescent="0.25">
      <c r="A28" s="4" t="s">
        <v>1</v>
      </c>
      <c r="B28" s="4" t="s">
        <v>128</v>
      </c>
      <c r="C28" s="7"/>
    </row>
    <row r="29" spans="1:11" s="2" customFormat="1" x14ac:dyDescent="0.25">
      <c r="A29" s="4" t="s">
        <v>2</v>
      </c>
      <c r="B29" s="2" t="s">
        <v>129</v>
      </c>
      <c r="C29" s="7"/>
    </row>
    <row r="30" spans="1:11" s="2" customFormat="1" x14ac:dyDescent="0.25">
      <c r="A30" s="4" t="s">
        <v>3</v>
      </c>
      <c r="B30" s="2" t="s">
        <v>33</v>
      </c>
      <c r="C30" s="7"/>
    </row>
    <row r="31" spans="1:11" s="2" customFormat="1" x14ac:dyDescent="0.25">
      <c r="A31" s="10" t="s">
        <v>10</v>
      </c>
      <c r="B31" s="1" t="s">
        <v>126</v>
      </c>
      <c r="C31" s="7"/>
    </row>
    <row r="32" spans="1:11" s="2" customFormat="1" x14ac:dyDescent="0.25">
      <c r="A32" s="4" t="s">
        <v>4</v>
      </c>
      <c r="B32" s="8">
        <v>1</v>
      </c>
      <c r="C32" s="7"/>
      <c r="D32" s="5"/>
    </row>
    <row r="33" spans="1:11" s="2" customFormat="1" x14ac:dyDescent="0.25">
      <c r="A33" s="4" t="s">
        <v>6</v>
      </c>
      <c r="B33" s="2" t="s">
        <v>23</v>
      </c>
      <c r="C33" s="7"/>
      <c r="D33" s="5"/>
    </row>
    <row r="34" spans="1:11" s="2" customFormat="1" x14ac:dyDescent="0.25">
      <c r="A34" s="4" t="s">
        <v>18</v>
      </c>
      <c r="C34" s="7"/>
      <c r="D34" s="5"/>
    </row>
    <row r="35" spans="1:11" s="2" customFormat="1" x14ac:dyDescent="0.25">
      <c r="A35" s="4" t="s">
        <v>8</v>
      </c>
      <c r="C35" s="7"/>
    </row>
    <row r="36" spans="1:11" s="2" customFormat="1" x14ac:dyDescent="0.25">
      <c r="A36" s="4" t="s">
        <v>9</v>
      </c>
      <c r="B36" s="4" t="s">
        <v>10</v>
      </c>
      <c r="C36" s="9" t="s">
        <v>11</v>
      </c>
      <c r="D36" s="4" t="s">
        <v>6</v>
      </c>
      <c r="E36" s="4" t="s">
        <v>12</v>
      </c>
      <c r="F36" s="4" t="s">
        <v>13</v>
      </c>
      <c r="G36" s="4" t="s">
        <v>3</v>
      </c>
      <c r="H36" s="4" t="s">
        <v>5</v>
      </c>
      <c r="I36" s="4" t="s">
        <v>2</v>
      </c>
    </row>
    <row r="37" spans="1:11" s="2" customFormat="1" x14ac:dyDescent="0.25">
      <c r="A37" s="1" t="s">
        <v>128</v>
      </c>
      <c r="B37" s="1" t="s">
        <v>126</v>
      </c>
      <c r="C37" s="16">
        <v>1</v>
      </c>
      <c r="D37" s="2" t="s">
        <v>23</v>
      </c>
      <c r="E37" s="1" t="s">
        <v>518</v>
      </c>
      <c r="F37" s="1"/>
      <c r="G37" s="1" t="s">
        <v>33</v>
      </c>
      <c r="H37" s="1" t="s">
        <v>14</v>
      </c>
      <c r="I37" s="1"/>
      <c r="J37" s="1"/>
      <c r="K37" s="1"/>
    </row>
    <row r="38" spans="1:11" s="2" customFormat="1" x14ac:dyDescent="0.25">
      <c r="A38" s="1" t="s">
        <v>110</v>
      </c>
      <c r="B38" s="1" t="s">
        <v>126</v>
      </c>
      <c r="C38" s="16">
        <f>C11</f>
        <v>0.32258064516129031</v>
      </c>
      <c r="D38" s="2" t="s">
        <v>23</v>
      </c>
      <c r="E38" s="1" t="s">
        <v>518</v>
      </c>
      <c r="F38" s="1"/>
      <c r="G38" s="1" t="s">
        <v>33</v>
      </c>
      <c r="H38" s="1" t="s">
        <v>20</v>
      </c>
      <c r="I38" s="1" t="s">
        <v>520</v>
      </c>
      <c r="J38" s="1"/>
      <c r="K38" s="1"/>
    </row>
    <row r="39" spans="1:11" x14ac:dyDescent="0.25">
      <c r="A39" s="1" t="s">
        <v>111</v>
      </c>
      <c r="B39" s="1" t="s">
        <v>126</v>
      </c>
      <c r="C39" s="16">
        <f t="shared" ref="C39:C41" si="0">C12</f>
        <v>0.31182795698924726</v>
      </c>
      <c r="D39" s="2" t="s">
        <v>23</v>
      </c>
      <c r="E39" s="1" t="s">
        <v>518</v>
      </c>
      <c r="F39" s="1"/>
      <c r="G39" s="1" t="s">
        <v>33</v>
      </c>
      <c r="H39" s="1" t="s">
        <v>20</v>
      </c>
      <c r="I39" s="1" t="s">
        <v>520</v>
      </c>
    </row>
    <row r="40" spans="1:11" x14ac:dyDescent="0.25">
      <c r="A40" s="1" t="s">
        <v>112</v>
      </c>
      <c r="B40" s="1" t="s">
        <v>126</v>
      </c>
      <c r="C40" s="16">
        <f t="shared" si="0"/>
        <v>0.23655913978494622</v>
      </c>
      <c r="D40" s="2" t="s">
        <v>23</v>
      </c>
      <c r="E40" s="1" t="s">
        <v>518</v>
      </c>
      <c r="F40" s="1"/>
      <c r="G40" s="1" t="s">
        <v>33</v>
      </c>
      <c r="H40" s="1" t="s">
        <v>20</v>
      </c>
      <c r="I40" s="1" t="s">
        <v>520</v>
      </c>
    </row>
    <row r="41" spans="1:11" x14ac:dyDescent="0.25">
      <c r="A41" s="1" t="s">
        <v>60</v>
      </c>
      <c r="B41" s="1" t="s">
        <v>126</v>
      </c>
      <c r="C41" s="16">
        <f t="shared" si="0"/>
        <v>0.12903225806451613</v>
      </c>
      <c r="D41" s="2" t="s">
        <v>23</v>
      </c>
      <c r="E41" s="1" t="s">
        <v>518</v>
      </c>
      <c r="F41" s="1"/>
      <c r="G41" s="1" t="s">
        <v>33</v>
      </c>
      <c r="H41" s="1" t="s">
        <v>20</v>
      </c>
      <c r="I41" s="1" t="s">
        <v>520</v>
      </c>
    </row>
    <row r="42" spans="1:11" s="2" customFormat="1" x14ac:dyDescent="0.25">
      <c r="A42" s="1" t="s">
        <v>128</v>
      </c>
      <c r="B42" s="1" t="s">
        <v>126</v>
      </c>
      <c r="C42" s="16">
        <v>0.01</v>
      </c>
      <c r="D42" s="2" t="s">
        <v>23</v>
      </c>
      <c r="E42" s="1" t="s">
        <v>518</v>
      </c>
      <c r="F42" s="1"/>
      <c r="G42" s="1" t="s">
        <v>33</v>
      </c>
      <c r="H42" s="1" t="s">
        <v>20</v>
      </c>
      <c r="I42" s="1" t="s">
        <v>547</v>
      </c>
      <c r="J42" s="1"/>
      <c r="K42" s="1"/>
    </row>
    <row r="43" spans="1:11" x14ac:dyDescent="0.25">
      <c r="A43" s="1" t="s">
        <v>36</v>
      </c>
      <c r="B43" s="1" t="s">
        <v>34</v>
      </c>
      <c r="C43" s="7">
        <v>4.1907810000000001E-4</v>
      </c>
      <c r="D43" s="2" t="s">
        <v>35</v>
      </c>
      <c r="E43" s="1" t="s">
        <v>19</v>
      </c>
      <c r="F43" s="1"/>
      <c r="G43" s="1" t="s">
        <v>33</v>
      </c>
      <c r="H43" s="1" t="s">
        <v>20</v>
      </c>
      <c r="I43" s="1" t="s">
        <v>222</v>
      </c>
    </row>
    <row r="44" spans="1:11" x14ac:dyDescent="0.25">
      <c r="A44" s="1" t="s">
        <v>205</v>
      </c>
      <c r="B44" s="1" t="s">
        <v>174</v>
      </c>
      <c r="C44" s="16">
        <v>0.15974450000000001</v>
      </c>
      <c r="D44" s="2" t="s">
        <v>44</v>
      </c>
      <c r="E44" s="1" t="s">
        <v>19</v>
      </c>
      <c r="F44" s="1"/>
      <c r="G44" s="1" t="s">
        <v>56</v>
      </c>
      <c r="H44" s="1" t="s">
        <v>20</v>
      </c>
      <c r="I44" s="1" t="s">
        <v>222</v>
      </c>
    </row>
    <row r="45" spans="1:11" x14ac:dyDescent="0.25">
      <c r="A45" s="1" t="s">
        <v>202</v>
      </c>
      <c r="B45" s="1" t="s">
        <v>203</v>
      </c>
      <c r="C45" s="16">
        <v>7.4967039999999999E-2</v>
      </c>
      <c r="D45" s="2" t="s">
        <v>204</v>
      </c>
      <c r="E45" s="1" t="s">
        <v>19</v>
      </c>
      <c r="F45" s="1"/>
      <c r="G45" s="1" t="s">
        <v>33</v>
      </c>
      <c r="H45" s="1" t="s">
        <v>20</v>
      </c>
      <c r="I45" s="1" t="s">
        <v>222</v>
      </c>
    </row>
    <row r="46" spans="1:11" x14ac:dyDescent="0.25">
      <c r="A46" s="1" t="s">
        <v>200</v>
      </c>
      <c r="B46" s="1" t="s">
        <v>199</v>
      </c>
      <c r="C46" s="7">
        <v>3.9104419999999999E-8</v>
      </c>
      <c r="D46" s="2" t="s">
        <v>201</v>
      </c>
      <c r="E46" s="1" t="s">
        <v>19</v>
      </c>
      <c r="F46" s="1"/>
      <c r="G46" s="1" t="s">
        <v>56</v>
      </c>
      <c r="H46" s="1" t="s">
        <v>20</v>
      </c>
      <c r="I46" s="1" t="s">
        <v>222</v>
      </c>
    </row>
    <row r="47" spans="1:11" s="2" customFormat="1" x14ac:dyDescent="0.25">
      <c r="A47" s="1" t="s">
        <v>21</v>
      </c>
      <c r="B47" s="1"/>
      <c r="C47" s="7">
        <v>2.0719339999999999E-5</v>
      </c>
      <c r="D47" s="2" t="s">
        <v>7</v>
      </c>
      <c r="E47" s="2" t="s">
        <v>16</v>
      </c>
      <c r="F47" s="1" t="s">
        <v>22</v>
      </c>
      <c r="G47" s="1"/>
      <c r="H47" s="2" t="s">
        <v>17</v>
      </c>
      <c r="I47" s="1" t="s">
        <v>222</v>
      </c>
      <c r="J47" s="1"/>
      <c r="K47" s="1"/>
    </row>
    <row r="48" spans="1:11" s="2" customFormat="1" x14ac:dyDescent="0.25">
      <c r="A48" s="1" t="s">
        <v>32</v>
      </c>
      <c r="B48" s="1"/>
      <c r="C48" s="7">
        <v>6.5178749999999998E-4</v>
      </c>
      <c r="D48" s="2" t="s">
        <v>7</v>
      </c>
      <c r="E48" s="2" t="s">
        <v>16</v>
      </c>
      <c r="F48" s="1" t="s">
        <v>22</v>
      </c>
      <c r="G48" s="1"/>
      <c r="H48" s="2" t="s">
        <v>17</v>
      </c>
      <c r="I48" s="1" t="s">
        <v>222</v>
      </c>
      <c r="J48" s="1"/>
      <c r="K48" s="1"/>
    </row>
    <row r="49" spans="1:11" s="2" customFormat="1" x14ac:dyDescent="0.25">
      <c r="A49" s="1" t="s">
        <v>328</v>
      </c>
      <c r="B49" s="1"/>
      <c r="C49" s="7">
        <v>5.0085560000000003E-7</v>
      </c>
      <c r="D49" s="2" t="s">
        <v>7</v>
      </c>
      <c r="E49" s="2" t="s">
        <v>16</v>
      </c>
      <c r="F49" s="1" t="s">
        <v>22</v>
      </c>
      <c r="G49" s="1"/>
      <c r="H49" s="2" t="s">
        <v>17</v>
      </c>
      <c r="I49" s="1" t="s">
        <v>222</v>
      </c>
      <c r="J49" s="1"/>
      <c r="K49" s="1"/>
    </row>
    <row r="50" spans="1:11" s="2" customFormat="1" x14ac:dyDescent="0.25">
      <c r="A50" s="1" t="s">
        <v>153</v>
      </c>
      <c r="B50" s="1"/>
      <c r="C50" s="7">
        <v>1.1419419999999999E-5</v>
      </c>
      <c r="D50" s="2" t="s">
        <v>7</v>
      </c>
      <c r="E50" s="2" t="s">
        <v>16</v>
      </c>
      <c r="F50" s="1" t="s">
        <v>22</v>
      </c>
      <c r="G50" s="1"/>
      <c r="H50" s="2" t="s">
        <v>17</v>
      </c>
      <c r="I50" s="1" t="s">
        <v>222</v>
      </c>
      <c r="J50" s="1"/>
      <c r="K50" s="1"/>
    </row>
    <row r="51" spans="1:11" s="2" customFormat="1" x14ac:dyDescent="0.25">
      <c r="A51" s="1" t="s">
        <v>154</v>
      </c>
      <c r="B51" s="1"/>
      <c r="C51" s="7">
        <v>5.817568E-6</v>
      </c>
      <c r="D51" s="2" t="s">
        <v>7</v>
      </c>
      <c r="E51" s="2" t="s">
        <v>16</v>
      </c>
      <c r="F51" s="1" t="s">
        <v>22</v>
      </c>
      <c r="G51" s="1"/>
      <c r="H51" s="2" t="s">
        <v>17</v>
      </c>
      <c r="I51" s="1" t="s">
        <v>222</v>
      </c>
      <c r="J51" s="1"/>
      <c r="K51" s="1"/>
    </row>
    <row r="52" spans="1:11" x14ac:dyDescent="0.25">
      <c r="A52" s="1" t="s">
        <v>223</v>
      </c>
      <c r="B52" s="1"/>
      <c r="C52" s="7">
        <v>5.0452630000000001E-5</v>
      </c>
      <c r="D52" s="2" t="s">
        <v>7</v>
      </c>
      <c r="E52" s="2" t="s">
        <v>16</v>
      </c>
      <c r="F52" s="1" t="s">
        <v>22</v>
      </c>
      <c r="G52" s="1"/>
      <c r="H52" s="2" t="s">
        <v>17</v>
      </c>
      <c r="I52" s="1" t="s">
        <v>222</v>
      </c>
    </row>
    <row r="53" spans="1:11" x14ac:dyDescent="0.25">
      <c r="A53" s="1" t="s">
        <v>522</v>
      </c>
      <c r="B53" s="1"/>
      <c r="C53" s="7">
        <v>8.3725830000000004E-13</v>
      </c>
      <c r="D53" s="2" t="s">
        <v>7</v>
      </c>
      <c r="E53" s="2" t="s">
        <v>16</v>
      </c>
      <c r="F53" s="1" t="s">
        <v>22</v>
      </c>
      <c r="G53" s="1"/>
      <c r="H53" s="2" t="s">
        <v>17</v>
      </c>
      <c r="I53" s="1" t="s">
        <v>222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B19D-9031-4071-BCC3-B3C5BF6DF8E3}">
  <dimension ref="A1:X68"/>
  <sheetViews>
    <sheetView zoomScale="85" zoomScaleNormal="85" workbookViewId="0">
      <selection activeCell="H19" sqref="H19"/>
    </sheetView>
  </sheetViews>
  <sheetFormatPr defaultRowHeight="15" x14ac:dyDescent="0.25"/>
  <cols>
    <col min="1" max="1" width="56.140625" bestFit="1" customWidth="1"/>
    <col min="2" max="2" width="27" bestFit="1" customWidth="1"/>
    <col min="3" max="3" width="17.5703125" bestFit="1" customWidth="1"/>
    <col min="5" max="5" width="11.42578125" customWidth="1"/>
    <col min="6" max="6" width="13.85546875" bestFit="1" customWidth="1"/>
    <col min="7" max="7" width="11.85546875" bestFit="1" customWidth="1"/>
    <col min="8" max="8" width="11.85546875" customWidth="1"/>
    <col min="9" max="24" width="12.7109375" customWidth="1"/>
  </cols>
  <sheetData>
    <row r="1" spans="1:24" x14ac:dyDescent="0.25">
      <c r="A1" t="s">
        <v>57</v>
      </c>
    </row>
    <row r="2" spans="1:24" ht="60" x14ac:dyDescent="0.25">
      <c r="A2" s="10" t="s">
        <v>9</v>
      </c>
      <c r="B2" s="10" t="s">
        <v>10</v>
      </c>
      <c r="C2" s="10" t="s">
        <v>12</v>
      </c>
      <c r="D2" s="10" t="s">
        <v>13</v>
      </c>
      <c r="E2" s="10" t="s">
        <v>3</v>
      </c>
      <c r="F2" s="10" t="s">
        <v>5</v>
      </c>
      <c r="G2" s="10" t="s">
        <v>6</v>
      </c>
      <c r="H2" s="22" t="s">
        <v>359</v>
      </c>
      <c r="I2" s="22" t="s">
        <v>286</v>
      </c>
      <c r="J2" s="22" t="s">
        <v>184</v>
      </c>
      <c r="K2" s="22" t="s">
        <v>287</v>
      </c>
      <c r="L2" s="22" t="s">
        <v>185</v>
      </c>
      <c r="M2" s="22" t="s">
        <v>288</v>
      </c>
      <c r="N2" s="22" t="s">
        <v>2</v>
      </c>
      <c r="O2" s="22"/>
      <c r="P2" s="22"/>
      <c r="Q2" s="22"/>
      <c r="R2" s="22"/>
      <c r="S2" s="22"/>
      <c r="T2" s="22"/>
      <c r="U2" s="22"/>
      <c r="V2" s="22"/>
      <c r="W2" s="22"/>
      <c r="X2" s="22"/>
    </row>
    <row r="3" spans="1:24" x14ac:dyDescent="0.25">
      <c r="A3" s="41" t="s">
        <v>281</v>
      </c>
      <c r="B3" s="57" t="s">
        <v>285</v>
      </c>
      <c r="C3" s="57" t="s">
        <v>518</v>
      </c>
      <c r="D3" s="56"/>
      <c r="E3" s="57" t="s">
        <v>33</v>
      </c>
      <c r="F3" s="38" t="s">
        <v>14</v>
      </c>
      <c r="G3" s="57" t="s">
        <v>44</v>
      </c>
      <c r="H3" s="58">
        <v>1</v>
      </c>
      <c r="I3" s="58">
        <v>1</v>
      </c>
      <c r="J3" s="58">
        <v>1</v>
      </c>
      <c r="K3" s="58">
        <v>1</v>
      </c>
      <c r="L3" s="58">
        <v>1</v>
      </c>
      <c r="M3" s="58">
        <v>1</v>
      </c>
      <c r="N3" s="39" t="s">
        <v>284</v>
      </c>
      <c r="V3" s="1"/>
      <c r="W3" s="21"/>
      <c r="X3" s="21"/>
    </row>
    <row r="4" spans="1:24" x14ac:dyDescent="0.25">
      <c r="A4" s="2" t="s">
        <v>172</v>
      </c>
      <c r="B4" s="2" t="s">
        <v>173</v>
      </c>
      <c r="C4" s="2" t="s">
        <v>19</v>
      </c>
      <c r="D4" s="2"/>
      <c r="E4" s="2" t="s">
        <v>56</v>
      </c>
      <c r="F4" s="2" t="s">
        <v>20</v>
      </c>
      <c r="G4" s="2" t="s">
        <v>23</v>
      </c>
      <c r="H4" s="136" t="s">
        <v>574</v>
      </c>
      <c r="I4" s="136" t="s">
        <v>574</v>
      </c>
      <c r="J4" s="48"/>
      <c r="K4" s="48"/>
      <c r="L4" s="48"/>
      <c r="M4" s="48"/>
      <c r="N4" s="19" t="s">
        <v>575</v>
      </c>
    </row>
    <row r="5" spans="1:24" x14ac:dyDescent="0.25">
      <c r="A5" s="8" t="s">
        <v>127</v>
      </c>
      <c r="B5" s="1" t="s">
        <v>126</v>
      </c>
      <c r="C5" s="1" t="s">
        <v>518</v>
      </c>
      <c r="D5" s="8"/>
      <c r="E5" s="1" t="s">
        <v>33</v>
      </c>
      <c r="F5" s="2" t="s">
        <v>20</v>
      </c>
      <c r="G5" s="1" t="s">
        <v>23</v>
      </c>
      <c r="H5" s="2"/>
      <c r="I5" s="2"/>
      <c r="J5" s="48">
        <f>ParametersCalculation!$B$85</f>
        <v>2.8987145844515984E-2</v>
      </c>
      <c r="K5" s="48">
        <f>ParametersCalculation!$B$85</f>
        <v>2.8987145844515984E-2</v>
      </c>
      <c r="L5" s="2"/>
      <c r="M5" s="2"/>
      <c r="N5" s="1" t="s">
        <v>278</v>
      </c>
    </row>
    <row r="6" spans="1:24" x14ac:dyDescent="0.25">
      <c r="A6" s="8" t="s">
        <v>128</v>
      </c>
      <c r="B6" s="1" t="s">
        <v>126</v>
      </c>
      <c r="C6" s="1" t="s">
        <v>518</v>
      </c>
      <c r="D6" s="8"/>
      <c r="E6" s="1" t="s">
        <v>33</v>
      </c>
      <c r="F6" s="2" t="s">
        <v>20</v>
      </c>
      <c r="G6" s="1" t="s">
        <v>23</v>
      </c>
      <c r="H6" s="48"/>
      <c r="I6" s="48"/>
      <c r="J6" s="48"/>
      <c r="K6" s="48"/>
      <c r="L6" s="48">
        <f>ParametersCalculation!$B$85</f>
        <v>2.8987145844515984E-2</v>
      </c>
      <c r="M6" s="48">
        <f>ParametersCalculation!$B$85</f>
        <v>2.8987145844515984E-2</v>
      </c>
      <c r="N6" s="1" t="s">
        <v>278</v>
      </c>
    </row>
    <row r="7" spans="1:24" x14ac:dyDescent="0.25">
      <c r="A7" s="1" t="s">
        <v>50</v>
      </c>
      <c r="B7" s="49" t="s">
        <v>49</v>
      </c>
      <c r="C7" s="1" t="s">
        <v>19</v>
      </c>
      <c r="D7" s="8"/>
      <c r="E7" s="1" t="s">
        <v>33</v>
      </c>
      <c r="F7" s="1" t="s">
        <v>20</v>
      </c>
      <c r="G7" s="1" t="s">
        <v>35</v>
      </c>
      <c r="H7" s="136" t="s">
        <v>574</v>
      </c>
      <c r="I7" s="136" t="s">
        <v>574</v>
      </c>
      <c r="J7" s="136" t="s">
        <v>574</v>
      </c>
      <c r="K7" s="136" t="s">
        <v>574</v>
      </c>
      <c r="L7" s="136" t="s">
        <v>574</v>
      </c>
      <c r="M7" s="136" t="s">
        <v>574</v>
      </c>
      <c r="N7" s="19" t="s">
        <v>575</v>
      </c>
    </row>
    <row r="8" spans="1:24" x14ac:dyDescent="0.25">
      <c r="A8" s="1" t="s">
        <v>282</v>
      </c>
      <c r="B8" s="49" t="s">
        <v>283</v>
      </c>
      <c r="C8" s="1" t="s">
        <v>19</v>
      </c>
      <c r="D8" s="8"/>
      <c r="E8" s="1" t="s">
        <v>33</v>
      </c>
      <c r="F8" s="1" t="s">
        <v>20</v>
      </c>
      <c r="G8" s="1" t="s">
        <v>6</v>
      </c>
      <c r="H8" s="136" t="s">
        <v>574</v>
      </c>
      <c r="I8" s="136" t="s">
        <v>574</v>
      </c>
      <c r="J8" s="136" t="s">
        <v>574</v>
      </c>
      <c r="K8" s="136" t="s">
        <v>574</v>
      </c>
      <c r="L8" s="136" t="s">
        <v>574</v>
      </c>
      <c r="M8" s="136" t="s">
        <v>574</v>
      </c>
      <c r="N8" s="19" t="s">
        <v>575</v>
      </c>
    </row>
    <row r="9" spans="1:24" x14ac:dyDescent="0.25">
      <c r="A9" s="1" t="s">
        <v>465</v>
      </c>
      <c r="B9" s="49" t="s">
        <v>465</v>
      </c>
      <c r="C9" s="1" t="s">
        <v>518</v>
      </c>
      <c r="D9" s="8"/>
      <c r="E9" s="1" t="s">
        <v>33</v>
      </c>
      <c r="F9" s="1" t="s">
        <v>20</v>
      </c>
      <c r="G9" s="1" t="s">
        <v>7</v>
      </c>
      <c r="H9" s="15"/>
      <c r="I9" s="15">
        <f>0.0589473684210527*ParametersCalculation!$B$83</f>
        <v>5.3052631578947428E-2</v>
      </c>
      <c r="J9" s="50"/>
      <c r="K9" s="15">
        <f>ParametersCalculation!$B$89</f>
        <v>5.1451352964797158E-2</v>
      </c>
      <c r="L9" s="50"/>
      <c r="M9" s="15">
        <f>ParametersCalculation!$B$89</f>
        <v>5.1451352964797158E-2</v>
      </c>
      <c r="N9" s="1" t="s">
        <v>298</v>
      </c>
    </row>
    <row r="10" spans="1:24" x14ac:dyDescent="0.25">
      <c r="A10" t="s">
        <v>226</v>
      </c>
      <c r="C10" s="1" t="s">
        <v>16</v>
      </c>
      <c r="D10" s="12" t="s">
        <v>22</v>
      </c>
      <c r="F10" s="2" t="s">
        <v>17</v>
      </c>
      <c r="G10" t="s">
        <v>7</v>
      </c>
      <c r="H10" s="15">
        <f>0.0589473684210527</f>
        <v>5.89473684210527E-2</v>
      </c>
      <c r="I10" s="15">
        <f>0.0589473684210527*(1-ParametersCalculation!$B$83)</f>
        <v>5.8947368421052686E-3</v>
      </c>
      <c r="K10" s="50"/>
      <c r="L10" s="50"/>
      <c r="M10" s="50"/>
      <c r="N10" s="1" t="s">
        <v>299</v>
      </c>
    </row>
    <row r="11" spans="1:24" x14ac:dyDescent="0.25">
      <c r="A11" s="49" t="s">
        <v>21</v>
      </c>
      <c r="B11" s="2"/>
      <c r="C11" s="1" t="s">
        <v>16</v>
      </c>
      <c r="D11" s="12" t="s">
        <v>22</v>
      </c>
      <c r="E11" s="2"/>
      <c r="F11" s="2" t="s">
        <v>17</v>
      </c>
      <c r="G11" s="1" t="s">
        <v>7</v>
      </c>
      <c r="H11" s="15"/>
      <c r="I11" s="15"/>
      <c r="J11" s="15">
        <f>ParametersCalculation!$B$87</f>
        <v>5.716816996088573E-2</v>
      </c>
      <c r="K11" s="15">
        <f>ParametersCalculation!$B$88</f>
        <v>5.7168169960885714E-3</v>
      </c>
      <c r="L11" s="15">
        <f>ParametersCalculation!$B$87</f>
        <v>5.716816996088573E-2</v>
      </c>
      <c r="M11" s="15">
        <f>ParametersCalculation!$B$88</f>
        <v>5.7168169960885714E-3</v>
      </c>
      <c r="N11" s="1" t="s">
        <v>139</v>
      </c>
      <c r="T11" s="2"/>
      <c r="W11" s="15"/>
      <c r="X11" s="15"/>
    </row>
    <row r="12" spans="1:24" x14ac:dyDescent="0.25">
      <c r="A12" t="s">
        <v>227</v>
      </c>
      <c r="C12" s="1" t="s">
        <v>16</v>
      </c>
      <c r="D12" s="12" t="s">
        <v>22</v>
      </c>
      <c r="E12" s="2"/>
      <c r="F12" s="2" t="s">
        <v>17</v>
      </c>
      <c r="G12" s="1" t="s">
        <v>7</v>
      </c>
      <c r="H12" s="136" t="s">
        <v>574</v>
      </c>
      <c r="I12" s="136" t="s">
        <v>574</v>
      </c>
      <c r="K12" s="15"/>
      <c r="L12" s="15"/>
      <c r="M12" s="15"/>
      <c r="N12" s="19" t="s">
        <v>575</v>
      </c>
      <c r="T12" s="2"/>
      <c r="W12" s="15"/>
      <c r="X12" s="15"/>
    </row>
    <row r="13" spans="1:24" x14ac:dyDescent="0.25">
      <c r="A13" s="49" t="s">
        <v>146</v>
      </c>
      <c r="B13" s="2"/>
      <c r="C13" s="1" t="s">
        <v>16</v>
      </c>
      <c r="D13" s="1" t="s">
        <v>22</v>
      </c>
      <c r="E13" s="2"/>
      <c r="F13" s="2" t="s">
        <v>17</v>
      </c>
      <c r="G13" s="1" t="s">
        <v>7</v>
      </c>
      <c r="H13" s="50"/>
      <c r="I13" s="50"/>
      <c r="J13" s="136" t="s">
        <v>574</v>
      </c>
      <c r="K13" s="136" t="s">
        <v>574</v>
      </c>
      <c r="L13" s="136" t="s">
        <v>574</v>
      </c>
      <c r="M13" s="136" t="s">
        <v>574</v>
      </c>
      <c r="N13" s="19" t="s">
        <v>575</v>
      </c>
      <c r="T13" s="20"/>
    </row>
    <row r="14" spans="1:24" x14ac:dyDescent="0.25">
      <c r="A14" t="s">
        <v>179</v>
      </c>
      <c r="C14" s="1" t="s">
        <v>16</v>
      </c>
      <c r="D14" s="12" t="s">
        <v>22</v>
      </c>
      <c r="E14" s="2"/>
      <c r="F14" s="2" t="s">
        <v>17</v>
      </c>
      <c r="G14" s="1" t="s">
        <v>7</v>
      </c>
      <c r="H14" s="136" t="s">
        <v>574</v>
      </c>
      <c r="I14" s="136" t="s">
        <v>574</v>
      </c>
      <c r="K14" s="15"/>
      <c r="L14" s="15"/>
      <c r="M14" s="15"/>
      <c r="N14" s="19" t="s">
        <v>575</v>
      </c>
      <c r="T14" s="2"/>
      <c r="W14" s="15"/>
      <c r="X14" s="15"/>
    </row>
    <row r="15" spans="1:24" x14ac:dyDescent="0.25">
      <c r="A15" s="2" t="s">
        <v>32</v>
      </c>
      <c r="B15" s="1"/>
      <c r="C15" s="1" t="s">
        <v>16</v>
      </c>
      <c r="D15" s="12" t="s">
        <v>22</v>
      </c>
      <c r="E15" s="2"/>
      <c r="F15" s="2" t="s">
        <v>17</v>
      </c>
      <c r="G15" s="2" t="s">
        <v>7</v>
      </c>
      <c r="H15" s="50"/>
      <c r="I15" s="50"/>
      <c r="J15" s="50">
        <f>ParametersCalculation!$B$86</f>
        <v>2.8260908749698655E-6</v>
      </c>
      <c r="K15" s="50">
        <f>ParametersCalculation!$B$86</f>
        <v>2.8260908749698655E-6</v>
      </c>
      <c r="L15" s="50">
        <f>ParametersCalculation!$B$86</f>
        <v>2.8260908749698655E-6</v>
      </c>
      <c r="M15" s="50">
        <f>ParametersCalculation!$B$86</f>
        <v>2.8260908749698655E-6</v>
      </c>
      <c r="N15" s="1" t="s">
        <v>140</v>
      </c>
      <c r="T15" s="1"/>
    </row>
    <row r="16" spans="1:24" x14ac:dyDescent="0.25">
      <c r="A16" s="49" t="s">
        <v>55</v>
      </c>
      <c r="B16" s="2"/>
      <c r="C16" s="1" t="s">
        <v>16</v>
      </c>
      <c r="D16" s="1" t="s">
        <v>22</v>
      </c>
      <c r="E16" s="2"/>
      <c r="F16" s="2" t="s">
        <v>17</v>
      </c>
      <c r="G16" s="1" t="s">
        <v>7</v>
      </c>
      <c r="H16" s="136" t="s">
        <v>574</v>
      </c>
      <c r="I16" s="136" t="s">
        <v>574</v>
      </c>
      <c r="J16" s="136" t="s">
        <v>574</v>
      </c>
      <c r="K16" s="136" t="s">
        <v>574</v>
      </c>
      <c r="L16" s="136" t="s">
        <v>574</v>
      </c>
      <c r="M16" s="136" t="s">
        <v>574</v>
      </c>
      <c r="N16" s="19" t="s">
        <v>575</v>
      </c>
      <c r="T16" s="20"/>
    </row>
    <row r="17" spans="1:24" x14ac:dyDescent="0.25">
      <c r="A17" t="s">
        <v>148</v>
      </c>
      <c r="C17" s="1" t="s">
        <v>16</v>
      </c>
      <c r="D17" s="1" t="s">
        <v>22</v>
      </c>
      <c r="E17" s="2"/>
      <c r="F17" s="2" t="s">
        <v>17</v>
      </c>
      <c r="G17" t="s">
        <v>7</v>
      </c>
      <c r="H17" s="136" t="s">
        <v>574</v>
      </c>
      <c r="I17" s="136" t="s">
        <v>574</v>
      </c>
      <c r="J17" s="136" t="s">
        <v>574</v>
      </c>
      <c r="K17" s="136" t="s">
        <v>574</v>
      </c>
      <c r="L17" s="136" t="s">
        <v>574</v>
      </c>
      <c r="M17" s="136" t="s">
        <v>574</v>
      </c>
      <c r="N17" s="19" t="s">
        <v>575</v>
      </c>
      <c r="T17" s="1"/>
    </row>
    <row r="18" spans="1:24" x14ac:dyDescent="0.25">
      <c r="A18" s="49" t="s">
        <v>46</v>
      </c>
      <c r="B18" s="2"/>
      <c r="C18" s="1" t="s">
        <v>16</v>
      </c>
      <c r="D18" s="1" t="s">
        <v>22</v>
      </c>
      <c r="E18" s="2"/>
      <c r="F18" s="2" t="s">
        <v>17</v>
      </c>
      <c r="G18" s="1" t="s">
        <v>7</v>
      </c>
      <c r="H18" s="136" t="s">
        <v>574</v>
      </c>
      <c r="I18" s="136" t="s">
        <v>574</v>
      </c>
      <c r="J18" s="136" t="s">
        <v>574</v>
      </c>
      <c r="K18" s="136" t="s">
        <v>574</v>
      </c>
      <c r="L18" s="136" t="s">
        <v>574</v>
      </c>
      <c r="M18" s="136" t="s">
        <v>574</v>
      </c>
      <c r="N18" s="19" t="s">
        <v>575</v>
      </c>
      <c r="T18" s="20"/>
      <c r="W18" s="15"/>
      <c r="X18" s="15"/>
    </row>
    <row r="19" spans="1:24" x14ac:dyDescent="0.25">
      <c r="A19" s="49" t="s">
        <v>530</v>
      </c>
      <c r="B19" s="2"/>
      <c r="C19" s="1" t="s">
        <v>16</v>
      </c>
      <c r="D19" s="1" t="s">
        <v>22</v>
      </c>
      <c r="E19" s="2"/>
      <c r="F19" s="2" t="s">
        <v>17</v>
      </c>
      <c r="G19" s="1" t="s">
        <v>7</v>
      </c>
      <c r="H19" s="136" t="s">
        <v>574</v>
      </c>
      <c r="I19" s="136" t="s">
        <v>574</v>
      </c>
      <c r="J19" s="136" t="s">
        <v>574</v>
      </c>
      <c r="K19" s="136" t="s">
        <v>574</v>
      </c>
      <c r="L19" s="136" t="s">
        <v>574</v>
      </c>
      <c r="M19" s="136" t="s">
        <v>574</v>
      </c>
      <c r="N19" s="19" t="s">
        <v>575</v>
      </c>
      <c r="T19" s="1"/>
    </row>
    <row r="20" spans="1:24" x14ac:dyDescent="0.25">
      <c r="A20" s="49" t="s">
        <v>130</v>
      </c>
      <c r="B20" s="2"/>
      <c r="C20" s="1" t="s">
        <v>16</v>
      </c>
      <c r="D20" s="1" t="s">
        <v>22</v>
      </c>
      <c r="E20" s="2"/>
      <c r="F20" s="2" t="s">
        <v>17</v>
      </c>
      <c r="G20" s="1" t="s">
        <v>7</v>
      </c>
      <c r="H20" s="136" t="s">
        <v>574</v>
      </c>
      <c r="I20" s="136" t="s">
        <v>574</v>
      </c>
      <c r="J20" s="136" t="s">
        <v>574</v>
      </c>
      <c r="K20" s="136" t="s">
        <v>574</v>
      </c>
      <c r="L20" s="136" t="s">
        <v>574</v>
      </c>
      <c r="M20" s="136" t="s">
        <v>574</v>
      </c>
      <c r="N20" s="19" t="s">
        <v>575</v>
      </c>
      <c r="T20" s="20"/>
    </row>
    <row r="21" spans="1:24" x14ac:dyDescent="0.25">
      <c r="A21" s="49" t="s">
        <v>150</v>
      </c>
      <c r="B21" s="2"/>
      <c r="C21" s="1" t="s">
        <v>16</v>
      </c>
      <c r="D21" s="1" t="s">
        <v>22</v>
      </c>
      <c r="E21" s="2"/>
      <c r="F21" s="2" t="s">
        <v>17</v>
      </c>
      <c r="G21" s="1" t="s">
        <v>7</v>
      </c>
      <c r="H21" s="136" t="s">
        <v>574</v>
      </c>
      <c r="I21" s="136" t="s">
        <v>574</v>
      </c>
      <c r="J21" s="136" t="s">
        <v>574</v>
      </c>
      <c r="K21" s="136" t="s">
        <v>574</v>
      </c>
      <c r="L21" s="136" t="s">
        <v>574</v>
      </c>
      <c r="M21" s="136" t="s">
        <v>574</v>
      </c>
      <c r="N21" s="19" t="s">
        <v>575</v>
      </c>
      <c r="T21" s="20"/>
    </row>
    <row r="22" spans="1:24" x14ac:dyDescent="0.25">
      <c r="A22" s="49" t="s">
        <v>143</v>
      </c>
      <c r="B22" s="2"/>
      <c r="C22" s="1" t="s">
        <v>16</v>
      </c>
      <c r="D22" s="1" t="s">
        <v>22</v>
      </c>
      <c r="E22" s="2"/>
      <c r="F22" s="2" t="s">
        <v>17</v>
      </c>
      <c r="G22" s="1" t="s">
        <v>7</v>
      </c>
      <c r="H22" s="136" t="s">
        <v>574</v>
      </c>
      <c r="I22" s="136" t="s">
        <v>574</v>
      </c>
      <c r="J22" s="136" t="s">
        <v>574</v>
      </c>
      <c r="K22" s="136" t="s">
        <v>574</v>
      </c>
      <c r="L22" s="136" t="s">
        <v>574</v>
      </c>
      <c r="M22" s="136" t="s">
        <v>574</v>
      </c>
      <c r="N22" s="19" t="s">
        <v>575</v>
      </c>
      <c r="T22" s="20"/>
    </row>
    <row r="23" spans="1:24" x14ac:dyDescent="0.25">
      <c r="A23" s="49" t="s">
        <v>142</v>
      </c>
      <c r="B23" s="1"/>
      <c r="C23" s="1" t="s">
        <v>16</v>
      </c>
      <c r="D23" s="1" t="s">
        <v>22</v>
      </c>
      <c r="E23" s="2"/>
      <c r="F23" s="2" t="s">
        <v>17</v>
      </c>
      <c r="G23" s="1" t="s">
        <v>7</v>
      </c>
      <c r="H23" s="136" t="s">
        <v>574</v>
      </c>
      <c r="I23" s="136" t="s">
        <v>574</v>
      </c>
      <c r="J23" s="136" t="s">
        <v>574</v>
      </c>
      <c r="K23" s="136" t="s">
        <v>574</v>
      </c>
      <c r="L23" s="136" t="s">
        <v>574</v>
      </c>
      <c r="M23" s="136" t="s">
        <v>574</v>
      </c>
      <c r="N23" s="19" t="s">
        <v>575</v>
      </c>
      <c r="T23" s="19"/>
    </row>
    <row r="24" spans="1:24" x14ac:dyDescent="0.25">
      <c r="A24" s="49" t="s">
        <v>154</v>
      </c>
      <c r="B24" s="2"/>
      <c r="C24" s="1" t="s">
        <v>16</v>
      </c>
      <c r="D24" s="1" t="s">
        <v>22</v>
      </c>
      <c r="E24" s="2"/>
      <c r="F24" s="2" t="s">
        <v>17</v>
      </c>
      <c r="G24" s="1" t="s">
        <v>7</v>
      </c>
      <c r="H24" s="136" t="s">
        <v>574</v>
      </c>
      <c r="I24" s="136" t="s">
        <v>574</v>
      </c>
      <c r="J24" s="136" t="s">
        <v>574</v>
      </c>
      <c r="K24" s="136" t="s">
        <v>574</v>
      </c>
      <c r="L24" s="136" t="s">
        <v>574</v>
      </c>
      <c r="M24" s="136" t="s">
        <v>574</v>
      </c>
      <c r="N24" s="19" t="s">
        <v>575</v>
      </c>
      <c r="T24" s="20"/>
    </row>
    <row r="25" spans="1:24" x14ac:dyDescent="0.25">
      <c r="A25" s="49" t="s">
        <v>149</v>
      </c>
      <c r="B25" s="2"/>
      <c r="C25" s="1" t="s">
        <v>16</v>
      </c>
      <c r="D25" s="1" t="s">
        <v>22</v>
      </c>
      <c r="E25" s="2"/>
      <c r="F25" s="2" t="s">
        <v>17</v>
      </c>
      <c r="G25" s="1" t="s">
        <v>7</v>
      </c>
      <c r="H25" s="136" t="s">
        <v>574</v>
      </c>
      <c r="I25" s="136" t="s">
        <v>574</v>
      </c>
      <c r="J25" s="136" t="s">
        <v>574</v>
      </c>
      <c r="K25" s="136" t="s">
        <v>574</v>
      </c>
      <c r="L25" s="136" t="s">
        <v>574</v>
      </c>
      <c r="M25" s="136" t="s">
        <v>574</v>
      </c>
      <c r="N25" s="19" t="s">
        <v>575</v>
      </c>
      <c r="T25" s="20"/>
    </row>
    <row r="26" spans="1:24" x14ac:dyDescent="0.25">
      <c r="A26" s="49" t="s">
        <v>147</v>
      </c>
      <c r="B26" s="2"/>
      <c r="C26" s="1" t="s">
        <v>16</v>
      </c>
      <c r="D26" s="1" t="s">
        <v>22</v>
      </c>
      <c r="E26" s="2"/>
      <c r="F26" s="2" t="s">
        <v>17</v>
      </c>
      <c r="G26" s="1" t="s">
        <v>7</v>
      </c>
      <c r="H26" s="136" t="s">
        <v>574</v>
      </c>
      <c r="I26" s="136" t="s">
        <v>574</v>
      </c>
      <c r="J26" s="136" t="s">
        <v>574</v>
      </c>
      <c r="K26" s="136" t="s">
        <v>574</v>
      </c>
      <c r="L26" s="136" t="s">
        <v>574</v>
      </c>
      <c r="M26" s="136" t="s">
        <v>574</v>
      </c>
      <c r="N26" s="19" t="s">
        <v>575</v>
      </c>
      <c r="T26" s="20"/>
    </row>
    <row r="27" spans="1:24" x14ac:dyDescent="0.25">
      <c r="A27" s="1" t="s">
        <v>522</v>
      </c>
      <c r="B27" s="2"/>
      <c r="C27" s="1" t="s">
        <v>16</v>
      </c>
      <c r="D27" s="1" t="s">
        <v>22</v>
      </c>
      <c r="E27" s="2"/>
      <c r="F27" s="2" t="s">
        <v>17</v>
      </c>
      <c r="G27" s="1" t="s">
        <v>7</v>
      </c>
      <c r="H27" s="136" t="s">
        <v>574</v>
      </c>
      <c r="I27" s="136" t="s">
        <v>574</v>
      </c>
      <c r="J27" s="136" t="s">
        <v>574</v>
      </c>
      <c r="K27" s="136" t="s">
        <v>574</v>
      </c>
      <c r="L27" s="136" t="s">
        <v>574</v>
      </c>
      <c r="M27" s="136" t="s">
        <v>574</v>
      </c>
      <c r="N27" s="19" t="s">
        <v>575</v>
      </c>
      <c r="T27" s="20"/>
    </row>
    <row r="28" spans="1:24" x14ac:dyDescent="0.25">
      <c r="A28" s="49" t="s">
        <v>152</v>
      </c>
      <c r="B28" s="2"/>
      <c r="C28" s="1" t="s">
        <v>16</v>
      </c>
      <c r="D28" s="1" t="s">
        <v>22</v>
      </c>
      <c r="E28" s="2"/>
      <c r="F28" s="2" t="s">
        <v>17</v>
      </c>
      <c r="G28" s="1" t="s">
        <v>7</v>
      </c>
      <c r="H28" s="136" t="s">
        <v>574</v>
      </c>
      <c r="I28" s="136" t="s">
        <v>574</v>
      </c>
      <c r="J28" s="136" t="s">
        <v>574</v>
      </c>
      <c r="K28" s="136" t="s">
        <v>574</v>
      </c>
      <c r="L28" s="136" t="s">
        <v>574</v>
      </c>
      <c r="M28" s="136" t="s">
        <v>574</v>
      </c>
      <c r="N28" s="19" t="s">
        <v>575</v>
      </c>
      <c r="T28" s="20"/>
    </row>
    <row r="29" spans="1:24" x14ac:dyDescent="0.25">
      <c r="A29" s="49" t="s">
        <v>151</v>
      </c>
      <c r="B29" s="2"/>
      <c r="C29" s="1" t="s">
        <v>16</v>
      </c>
      <c r="D29" s="1" t="s">
        <v>22</v>
      </c>
      <c r="E29" s="2"/>
      <c r="F29" s="2" t="s">
        <v>17</v>
      </c>
      <c r="G29" s="1" t="s">
        <v>7</v>
      </c>
      <c r="H29" s="136" t="s">
        <v>574</v>
      </c>
      <c r="I29" s="136" t="s">
        <v>574</v>
      </c>
      <c r="J29" s="136" t="s">
        <v>574</v>
      </c>
      <c r="K29" s="136" t="s">
        <v>574</v>
      </c>
      <c r="L29" s="136" t="s">
        <v>574</v>
      </c>
      <c r="M29" s="136" t="s">
        <v>574</v>
      </c>
      <c r="N29" s="19" t="s">
        <v>575</v>
      </c>
      <c r="T29" s="20"/>
    </row>
    <row r="30" spans="1:24" x14ac:dyDescent="0.25">
      <c r="A30" s="49" t="s">
        <v>153</v>
      </c>
      <c r="B30" s="2"/>
      <c r="C30" s="1" t="s">
        <v>16</v>
      </c>
      <c r="D30" s="1" t="s">
        <v>22</v>
      </c>
      <c r="E30" s="2"/>
      <c r="F30" s="2" t="s">
        <v>17</v>
      </c>
      <c r="G30" s="1" t="s">
        <v>7</v>
      </c>
      <c r="H30" s="136" t="s">
        <v>574</v>
      </c>
      <c r="I30" s="136" t="s">
        <v>574</v>
      </c>
      <c r="J30" s="136" t="s">
        <v>574</v>
      </c>
      <c r="K30" s="136" t="s">
        <v>574</v>
      </c>
      <c r="L30" s="136" t="s">
        <v>574</v>
      </c>
      <c r="M30" s="136" t="s">
        <v>574</v>
      </c>
      <c r="N30" s="19" t="s">
        <v>575</v>
      </c>
      <c r="T30" s="20"/>
    </row>
    <row r="31" spans="1:24" x14ac:dyDescent="0.25">
      <c r="A31" s="49" t="s">
        <v>144</v>
      </c>
      <c r="B31" s="2"/>
      <c r="C31" s="1" t="s">
        <v>16</v>
      </c>
      <c r="D31" s="1" t="s">
        <v>22</v>
      </c>
      <c r="E31" s="2"/>
      <c r="F31" s="2" t="s">
        <v>17</v>
      </c>
      <c r="G31" s="1" t="s">
        <v>7</v>
      </c>
      <c r="H31" s="136" t="s">
        <v>574</v>
      </c>
      <c r="I31" s="136" t="s">
        <v>574</v>
      </c>
      <c r="J31" s="136" t="s">
        <v>574</v>
      </c>
      <c r="K31" s="136" t="s">
        <v>574</v>
      </c>
      <c r="L31" s="136" t="s">
        <v>574</v>
      </c>
      <c r="M31" s="136" t="s">
        <v>574</v>
      </c>
      <c r="N31" s="19" t="s">
        <v>575</v>
      </c>
    </row>
    <row r="32" spans="1:24" x14ac:dyDescent="0.25">
      <c r="A32" s="49" t="s">
        <v>145</v>
      </c>
      <c r="B32" s="2"/>
      <c r="C32" s="1" t="s">
        <v>16</v>
      </c>
      <c r="D32" s="1" t="s">
        <v>22</v>
      </c>
      <c r="E32" s="2"/>
      <c r="F32" s="2" t="s">
        <v>17</v>
      </c>
      <c r="G32" s="1" t="s">
        <v>7</v>
      </c>
      <c r="H32" s="136" t="s">
        <v>574</v>
      </c>
      <c r="I32" s="136" t="s">
        <v>574</v>
      </c>
      <c r="J32" s="136" t="s">
        <v>574</v>
      </c>
      <c r="K32" s="136" t="s">
        <v>574</v>
      </c>
      <c r="L32" s="136" t="s">
        <v>574</v>
      </c>
      <c r="M32" s="136" t="s">
        <v>574</v>
      </c>
      <c r="N32" s="19" t="s">
        <v>575</v>
      </c>
    </row>
    <row r="33" spans="1:20" x14ac:dyDescent="0.25">
      <c r="T33" s="20"/>
    </row>
    <row r="34" spans="1:20" x14ac:dyDescent="0.25">
      <c r="T34" s="20"/>
    </row>
    <row r="36" spans="1:20" x14ac:dyDescent="0.25">
      <c r="A36" s="2"/>
      <c r="B36" s="1"/>
      <c r="C36" s="2"/>
      <c r="D36" s="2"/>
      <c r="E36" s="2"/>
      <c r="F36" s="2"/>
      <c r="G36" s="2"/>
      <c r="H36" s="2"/>
      <c r="I36" s="50"/>
      <c r="J36" s="50"/>
      <c r="K36" s="50"/>
      <c r="L36" s="50"/>
      <c r="M36" s="50"/>
      <c r="N36" s="19"/>
    </row>
    <row r="37" spans="1:20" x14ac:dyDescent="0.25">
      <c r="A37" s="49"/>
      <c r="B37" s="1"/>
      <c r="C37" s="1"/>
      <c r="D37" s="2"/>
      <c r="E37" s="2"/>
      <c r="F37" s="2"/>
      <c r="G37" s="1"/>
      <c r="H37" s="1"/>
      <c r="I37" s="50"/>
      <c r="J37" s="50"/>
      <c r="K37" s="50"/>
      <c r="L37" s="50"/>
      <c r="M37" s="50"/>
      <c r="N37" s="19"/>
    </row>
    <row r="38" spans="1:20" x14ac:dyDescent="0.25">
      <c r="A38" s="49"/>
      <c r="B38" s="2"/>
      <c r="C38" s="1"/>
      <c r="D38" s="2"/>
      <c r="E38" s="2"/>
      <c r="F38" s="2"/>
      <c r="G38" s="1"/>
      <c r="H38" s="1"/>
      <c r="I38" s="50"/>
      <c r="J38" s="50"/>
      <c r="K38" s="50"/>
      <c r="L38" s="50"/>
      <c r="M38" s="50"/>
      <c r="N38" s="19"/>
      <c r="T38" s="20"/>
    </row>
    <row r="41" spans="1:20" x14ac:dyDescent="0.25">
      <c r="A41" s="49"/>
      <c r="B41" s="2"/>
      <c r="C41" s="1"/>
      <c r="D41" s="2"/>
      <c r="E41" s="2"/>
      <c r="F41" s="2"/>
      <c r="G41" s="1"/>
      <c r="H41" s="1"/>
      <c r="I41" s="50"/>
      <c r="J41" s="50"/>
      <c r="K41" s="50"/>
      <c r="L41" s="50"/>
      <c r="M41" s="50"/>
      <c r="N41" s="19"/>
    </row>
    <row r="44" spans="1:20" x14ac:dyDescent="0.25">
      <c r="T44" s="20"/>
    </row>
    <row r="50" spans="3:10" x14ac:dyDescent="0.25">
      <c r="C50" s="1"/>
    </row>
    <row r="51" spans="3:10" x14ac:dyDescent="0.25">
      <c r="C51" s="1"/>
    </row>
    <row r="52" spans="3:10" x14ac:dyDescent="0.25">
      <c r="C52" s="1"/>
    </row>
    <row r="53" spans="3:10" x14ac:dyDescent="0.25">
      <c r="C53" s="1"/>
      <c r="J53" s="47"/>
    </row>
    <row r="54" spans="3:10" x14ac:dyDescent="0.25">
      <c r="C54" s="1"/>
    </row>
    <row r="55" spans="3:10" x14ac:dyDescent="0.25">
      <c r="C55" s="1"/>
      <c r="J55" s="47"/>
    </row>
    <row r="57" spans="3:10" x14ac:dyDescent="0.25">
      <c r="C57" s="1"/>
      <c r="J57" s="47"/>
    </row>
    <row r="58" spans="3:10" x14ac:dyDescent="0.25">
      <c r="C58" s="1"/>
      <c r="J58" s="47"/>
    </row>
    <row r="59" spans="3:10" x14ac:dyDescent="0.25">
      <c r="C59" s="1"/>
      <c r="J59" s="47"/>
    </row>
    <row r="60" spans="3:10" x14ac:dyDescent="0.25">
      <c r="C60" s="1"/>
      <c r="J60" s="47"/>
    </row>
    <row r="62" spans="3:10" x14ac:dyDescent="0.25">
      <c r="C62" s="1"/>
      <c r="J62" s="47"/>
    </row>
    <row r="63" spans="3:10" x14ac:dyDescent="0.25">
      <c r="C63" s="1"/>
      <c r="J63" s="47"/>
    </row>
    <row r="64" spans="3:10" x14ac:dyDescent="0.25">
      <c r="C64" s="1"/>
      <c r="J64" s="47"/>
    </row>
    <row r="65" spans="3:10" x14ac:dyDescent="0.25">
      <c r="C65" s="1"/>
    </row>
    <row r="66" spans="3:10" x14ac:dyDescent="0.25">
      <c r="C66" s="1"/>
      <c r="J66" s="47"/>
    </row>
    <row r="68" spans="3:10" x14ac:dyDescent="0.25">
      <c r="C68" s="1"/>
      <c r="J68" s="47"/>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BDFD-2221-47CE-B717-ABBD3F8D28BD}">
  <dimension ref="A1:AA29"/>
  <sheetViews>
    <sheetView zoomScale="85" zoomScaleNormal="85" workbookViewId="0">
      <pane xSplit="7" ySplit="2" topLeftCell="I3" activePane="bottomRight" state="frozen"/>
      <selection pane="topRight" activeCell="H1" sqref="H1"/>
      <selection pane="bottomLeft" activeCell="A3" sqref="A3"/>
      <selection pane="bottomRight" activeCell="Q26" sqref="Q26"/>
    </sheetView>
  </sheetViews>
  <sheetFormatPr defaultRowHeight="15" x14ac:dyDescent="0.25"/>
  <cols>
    <col min="1" max="1" width="58.5703125" customWidth="1"/>
    <col min="2" max="2" width="36" bestFit="1" customWidth="1"/>
    <col min="3" max="3" width="20.28515625" bestFit="1" customWidth="1"/>
    <col min="5" max="5" width="19.140625" customWidth="1"/>
    <col min="6" max="6" width="12.28515625" bestFit="1" customWidth="1"/>
    <col min="7" max="7" width="13" bestFit="1" customWidth="1"/>
    <col min="8" max="27" width="12.7109375" customWidth="1"/>
  </cols>
  <sheetData>
    <row r="1" spans="1:27" x14ac:dyDescent="0.25">
      <c r="A1" t="s">
        <v>57</v>
      </c>
    </row>
    <row r="2" spans="1:27" ht="120" x14ac:dyDescent="0.25">
      <c r="A2" s="10" t="s">
        <v>9</v>
      </c>
      <c r="B2" s="10" t="s">
        <v>10</v>
      </c>
      <c r="C2" s="10" t="s">
        <v>12</v>
      </c>
      <c r="D2" s="10" t="s">
        <v>13</v>
      </c>
      <c r="E2" s="10" t="s">
        <v>3</v>
      </c>
      <c r="F2" s="10" t="s">
        <v>5</v>
      </c>
      <c r="G2" s="10" t="s">
        <v>6</v>
      </c>
      <c r="H2" s="22" t="s">
        <v>316</v>
      </c>
      <c r="I2" s="22" t="s">
        <v>295</v>
      </c>
      <c r="J2" s="22" t="s">
        <v>301</v>
      </c>
      <c r="K2" s="22" t="s">
        <v>238</v>
      </c>
      <c r="L2" s="22" t="s">
        <v>302</v>
      </c>
      <c r="M2" s="22" t="s">
        <v>303</v>
      </c>
      <c r="N2" s="22" t="s">
        <v>239</v>
      </c>
      <c r="O2" s="22" t="s">
        <v>304</v>
      </c>
      <c r="P2" s="22" t="s">
        <v>305</v>
      </c>
      <c r="Q2" s="22" t="s">
        <v>2</v>
      </c>
      <c r="R2" s="22"/>
      <c r="S2" s="22"/>
      <c r="T2" s="22"/>
      <c r="U2" s="22"/>
      <c r="V2" s="22"/>
      <c r="W2" s="22"/>
      <c r="X2" s="22"/>
      <c r="Y2" s="22"/>
      <c r="Z2" s="22"/>
      <c r="AA2" s="22"/>
    </row>
    <row r="3" spans="1:27" x14ac:dyDescent="0.25">
      <c r="A3" s="56" t="s">
        <v>240</v>
      </c>
      <c r="B3" s="57" t="s">
        <v>360</v>
      </c>
      <c r="C3" s="57" t="s">
        <v>518</v>
      </c>
      <c r="D3" s="56"/>
      <c r="E3" s="57" t="s">
        <v>33</v>
      </c>
      <c r="F3" s="38" t="s">
        <v>14</v>
      </c>
      <c r="G3" s="57" t="s">
        <v>7</v>
      </c>
      <c r="H3" s="58">
        <v>1</v>
      </c>
      <c r="I3" s="58">
        <v>1</v>
      </c>
      <c r="J3" s="58">
        <v>1</v>
      </c>
      <c r="K3" s="58">
        <v>1</v>
      </c>
      <c r="L3" s="58">
        <v>1</v>
      </c>
      <c r="M3" s="58">
        <v>1</v>
      </c>
      <c r="N3" s="58">
        <v>1</v>
      </c>
      <c r="O3" s="58">
        <v>1</v>
      </c>
      <c r="P3" s="58">
        <v>1</v>
      </c>
      <c r="Q3" s="39" t="s">
        <v>296</v>
      </c>
      <c r="Y3" s="1"/>
      <c r="Z3" s="21"/>
      <c r="AA3" s="21"/>
    </row>
    <row r="4" spans="1:27" x14ac:dyDescent="0.25">
      <c r="A4" s="2" t="s">
        <v>172</v>
      </c>
      <c r="B4" s="2" t="s">
        <v>173</v>
      </c>
      <c r="C4" s="2" t="s">
        <v>19</v>
      </c>
      <c r="D4" s="2"/>
      <c r="E4" s="2" t="s">
        <v>56</v>
      </c>
      <c r="F4" s="2" t="s">
        <v>20</v>
      </c>
      <c r="G4" s="2" t="s">
        <v>23</v>
      </c>
      <c r="H4" s="54">
        <v>0.61010952990086331</v>
      </c>
      <c r="I4" s="136" t="s">
        <v>574</v>
      </c>
      <c r="J4" s="136" t="s">
        <v>574</v>
      </c>
      <c r="K4" s="2"/>
      <c r="L4" s="2"/>
      <c r="M4" s="2"/>
      <c r="N4" s="2"/>
      <c r="O4" s="2"/>
      <c r="P4" s="2"/>
      <c r="Q4" s="19" t="s">
        <v>575</v>
      </c>
      <c r="R4" s="55"/>
    </row>
    <row r="5" spans="1:27" x14ac:dyDescent="0.25">
      <c r="A5" s="2" t="s">
        <v>127</v>
      </c>
      <c r="B5" s="2" t="s">
        <v>126</v>
      </c>
      <c r="C5" s="1" t="s">
        <v>518</v>
      </c>
      <c r="D5" s="2"/>
      <c r="E5" s="2" t="s">
        <v>33</v>
      </c>
      <c r="F5" s="2" t="s">
        <v>20</v>
      </c>
      <c r="G5" s="2" t="s">
        <v>23</v>
      </c>
      <c r="H5" s="54"/>
      <c r="I5" s="54"/>
      <c r="J5" s="54"/>
      <c r="K5" s="136" t="s">
        <v>574</v>
      </c>
      <c r="L5" s="136" t="s">
        <v>574</v>
      </c>
      <c r="M5" s="136" t="s">
        <v>574</v>
      </c>
      <c r="N5" s="2"/>
      <c r="O5" s="2"/>
      <c r="P5" s="2"/>
      <c r="Q5" s="19" t="s">
        <v>575</v>
      </c>
      <c r="R5" s="55"/>
    </row>
    <row r="6" spans="1:27" x14ac:dyDescent="0.25">
      <c r="A6" s="2" t="s">
        <v>128</v>
      </c>
      <c r="B6" s="2" t="s">
        <v>126</v>
      </c>
      <c r="C6" s="1" t="s">
        <v>518</v>
      </c>
      <c r="D6" s="2"/>
      <c r="E6" s="2" t="s">
        <v>33</v>
      </c>
      <c r="F6" s="2" t="s">
        <v>20</v>
      </c>
      <c r="G6" s="2" t="s">
        <v>23</v>
      </c>
      <c r="H6" s="54"/>
      <c r="I6" s="54"/>
      <c r="J6" s="54"/>
      <c r="K6" s="54"/>
      <c r="L6" s="54"/>
      <c r="M6" s="54"/>
      <c r="N6" s="136" t="s">
        <v>574</v>
      </c>
      <c r="O6" s="136" t="s">
        <v>574</v>
      </c>
      <c r="P6" s="136" t="s">
        <v>574</v>
      </c>
      <c r="Q6" s="19" t="s">
        <v>575</v>
      </c>
      <c r="R6" s="55"/>
    </row>
    <row r="7" spans="1:27" x14ac:dyDescent="0.25">
      <c r="A7" s="2" t="s">
        <v>280</v>
      </c>
      <c r="B7" s="2" t="s">
        <v>174</v>
      </c>
      <c r="C7" s="2" t="s">
        <v>19</v>
      </c>
      <c r="D7" s="8"/>
      <c r="E7" s="2" t="s">
        <v>56</v>
      </c>
      <c r="F7" s="2" t="s">
        <v>20</v>
      </c>
      <c r="G7" s="2" t="s">
        <v>44</v>
      </c>
      <c r="H7" s="54">
        <v>9.9569875279820899</v>
      </c>
      <c r="I7" s="136" t="s">
        <v>574</v>
      </c>
      <c r="J7" s="54"/>
      <c r="K7" s="2"/>
      <c r="L7" s="2"/>
      <c r="M7" s="2"/>
      <c r="N7" s="2"/>
      <c r="O7" s="2"/>
      <c r="P7" s="2"/>
      <c r="Q7" s="19" t="s">
        <v>575</v>
      </c>
      <c r="R7" s="2"/>
    </row>
    <row r="8" spans="1:27" x14ac:dyDescent="0.25">
      <c r="A8" s="2" t="s">
        <v>289</v>
      </c>
      <c r="B8" s="2" t="s">
        <v>285</v>
      </c>
      <c r="C8" s="1" t="s">
        <v>518</v>
      </c>
      <c r="D8" s="8"/>
      <c r="E8" s="2" t="s">
        <v>33</v>
      </c>
      <c r="F8" s="2" t="s">
        <v>20</v>
      </c>
      <c r="G8" s="2" t="s">
        <v>44</v>
      </c>
      <c r="H8" s="2"/>
      <c r="I8" s="2"/>
      <c r="J8" s="136" t="s">
        <v>574</v>
      </c>
      <c r="K8" s="2"/>
      <c r="L8" s="2"/>
      <c r="M8" s="2"/>
      <c r="N8" s="2"/>
      <c r="O8" s="2"/>
      <c r="P8" s="2"/>
      <c r="Q8" s="19" t="s">
        <v>575</v>
      </c>
      <c r="R8" s="2"/>
    </row>
    <row r="9" spans="1:27" x14ac:dyDescent="0.25">
      <c r="A9" s="2" t="s">
        <v>290</v>
      </c>
      <c r="B9" s="2" t="s">
        <v>285</v>
      </c>
      <c r="C9" s="1" t="s">
        <v>518</v>
      </c>
      <c r="D9" s="8"/>
      <c r="E9" s="2" t="s">
        <v>33</v>
      </c>
      <c r="F9" s="2" t="s">
        <v>20</v>
      </c>
      <c r="G9" s="2" t="s">
        <v>44</v>
      </c>
      <c r="H9" s="54"/>
      <c r="I9" s="54"/>
      <c r="J9" s="54"/>
      <c r="K9" s="136" t="s">
        <v>574</v>
      </c>
      <c r="L9" s="136" t="s">
        <v>574</v>
      </c>
      <c r="M9" s="54"/>
      <c r="N9" s="2"/>
      <c r="O9" s="2"/>
      <c r="P9" s="2"/>
      <c r="Q9" s="19" t="s">
        <v>575</v>
      </c>
      <c r="R9" s="2"/>
    </row>
    <row r="10" spans="1:27" x14ac:dyDescent="0.25">
      <c r="A10" s="2" t="s">
        <v>292</v>
      </c>
      <c r="B10" s="2" t="s">
        <v>285</v>
      </c>
      <c r="C10" s="1" t="s">
        <v>518</v>
      </c>
      <c r="D10" s="8"/>
      <c r="E10" s="2" t="s">
        <v>33</v>
      </c>
      <c r="F10" s="2" t="s">
        <v>20</v>
      </c>
      <c r="G10" s="2" t="s">
        <v>44</v>
      </c>
      <c r="H10" s="54"/>
      <c r="I10" s="54"/>
      <c r="J10" s="54"/>
      <c r="K10" s="54"/>
      <c r="L10" s="54"/>
      <c r="M10" s="136" t="s">
        <v>574</v>
      </c>
      <c r="N10" s="2"/>
      <c r="O10" s="2"/>
      <c r="P10" s="2"/>
      <c r="Q10" s="19" t="s">
        <v>575</v>
      </c>
      <c r="R10" s="2"/>
    </row>
    <row r="11" spans="1:27" x14ac:dyDescent="0.25">
      <c r="A11" s="2" t="s">
        <v>293</v>
      </c>
      <c r="B11" s="2" t="s">
        <v>285</v>
      </c>
      <c r="C11" s="1" t="s">
        <v>518</v>
      </c>
      <c r="D11" s="8"/>
      <c r="E11" s="2" t="s">
        <v>33</v>
      </c>
      <c r="F11" s="2" t="s">
        <v>20</v>
      </c>
      <c r="G11" s="2" t="s">
        <v>44</v>
      </c>
      <c r="H11" s="54"/>
      <c r="I11" s="54"/>
      <c r="J11" s="54"/>
      <c r="K11" s="54"/>
      <c r="L11" s="54"/>
      <c r="M11" s="54"/>
      <c r="N11" s="136" t="s">
        <v>574</v>
      </c>
      <c r="O11" s="136" t="s">
        <v>574</v>
      </c>
      <c r="P11" s="54"/>
      <c r="Q11" s="19" t="s">
        <v>575</v>
      </c>
      <c r="R11" s="2"/>
    </row>
    <row r="12" spans="1:27" x14ac:dyDescent="0.25">
      <c r="A12" s="2" t="s">
        <v>294</v>
      </c>
      <c r="B12" s="2" t="s">
        <v>285</v>
      </c>
      <c r="C12" s="1" t="s">
        <v>518</v>
      </c>
      <c r="D12" s="8"/>
      <c r="E12" s="2" t="s">
        <v>33</v>
      </c>
      <c r="F12" s="2" t="s">
        <v>20</v>
      </c>
      <c r="G12" s="2" t="s">
        <v>44</v>
      </c>
      <c r="H12" s="54"/>
      <c r="I12" s="54"/>
      <c r="J12" s="54"/>
      <c r="K12" s="54"/>
      <c r="L12" s="54"/>
      <c r="M12" s="54"/>
      <c r="N12" s="54"/>
      <c r="O12" s="54"/>
      <c r="P12" s="136" t="s">
        <v>574</v>
      </c>
      <c r="Q12" s="19" t="s">
        <v>575</v>
      </c>
      <c r="R12" s="2"/>
    </row>
    <row r="13" spans="1:27" x14ac:dyDescent="0.25">
      <c r="A13" s="2" t="s">
        <v>50</v>
      </c>
      <c r="B13" s="2" t="s">
        <v>49</v>
      </c>
      <c r="C13" s="2" t="s">
        <v>19</v>
      </c>
      <c r="D13" s="8"/>
      <c r="E13" s="2" t="s">
        <v>33</v>
      </c>
      <c r="F13" s="2" t="s">
        <v>20</v>
      </c>
      <c r="G13" s="2" t="s">
        <v>35</v>
      </c>
      <c r="H13" s="54">
        <f>0.227774224496322+H20*ParametersCalculation!$B$94</f>
        <v>0.22777422449632201</v>
      </c>
      <c r="I13" s="54">
        <f>0.227774224496322+I20*ParametersCalculation!$B$94</f>
        <v>0.43230752291653318</v>
      </c>
      <c r="J13" s="54">
        <f>0.227774224496322+J20*ParametersCalculation!$B$94</f>
        <v>0.43230752291653318</v>
      </c>
      <c r="K13" s="54">
        <f>0.227774224496322+K20*ParametersCalculation!$B$94</f>
        <v>0.22777422449632201</v>
      </c>
      <c r="L13" s="54">
        <f>0.227774224496322+L20*ParametersCalculation!$B$94</f>
        <v>0.43230752291653318</v>
      </c>
      <c r="M13" s="54">
        <f>0.227774224496322+M20*ParametersCalculation!$B$94</f>
        <v>0.43230752291653318</v>
      </c>
      <c r="N13" s="54">
        <f>0.227774224496322+N20*ParametersCalculation!$B$94</f>
        <v>0.22777422449632201</v>
      </c>
      <c r="O13" s="54">
        <f>0.227774224496322+O20*ParametersCalculation!$B$94</f>
        <v>0.43230752291653318</v>
      </c>
      <c r="P13" s="54">
        <f>0.227774224496322+P20*ParametersCalculation!$B$94</f>
        <v>0.43230752291653318</v>
      </c>
      <c r="Q13" s="1" t="s">
        <v>576</v>
      </c>
      <c r="R13" s="55"/>
    </row>
    <row r="14" spans="1:27" x14ac:dyDescent="0.25">
      <c r="A14" s="2" t="s">
        <v>233</v>
      </c>
      <c r="B14" s="2" t="s">
        <v>234</v>
      </c>
      <c r="C14" s="2" t="s">
        <v>19</v>
      </c>
      <c r="D14" s="2"/>
      <c r="E14" s="2" t="s">
        <v>15</v>
      </c>
      <c r="F14" s="2" t="s">
        <v>20</v>
      </c>
      <c r="G14" s="2" t="s">
        <v>7</v>
      </c>
      <c r="H14" s="5">
        <v>2.92852574352414E-5</v>
      </c>
      <c r="I14" s="136" t="s">
        <v>574</v>
      </c>
      <c r="J14" s="136" t="s">
        <v>574</v>
      </c>
      <c r="K14" s="136" t="s">
        <v>574</v>
      </c>
      <c r="L14" s="136" t="s">
        <v>574</v>
      </c>
      <c r="M14" s="136" t="s">
        <v>574</v>
      </c>
      <c r="N14" s="136" t="s">
        <v>574</v>
      </c>
      <c r="O14" s="136" t="s">
        <v>574</v>
      </c>
      <c r="P14" s="136" t="s">
        <v>574</v>
      </c>
      <c r="Q14" s="19" t="s">
        <v>575</v>
      </c>
      <c r="R14" s="2"/>
      <c r="W14" s="1"/>
    </row>
    <row r="15" spans="1:27" x14ac:dyDescent="0.25">
      <c r="A15" s="2" t="s">
        <v>175</v>
      </c>
      <c r="B15" s="2" t="s">
        <v>176</v>
      </c>
      <c r="C15" s="2" t="s">
        <v>19</v>
      </c>
      <c r="D15" s="2"/>
      <c r="E15" s="2" t="s">
        <v>15</v>
      </c>
      <c r="F15" s="2" t="s">
        <v>20</v>
      </c>
      <c r="G15" s="2" t="s">
        <v>7</v>
      </c>
      <c r="H15" s="5">
        <v>3.4166133674448402E-4</v>
      </c>
      <c r="I15" s="136" t="s">
        <v>574</v>
      </c>
      <c r="J15" s="136" t="s">
        <v>574</v>
      </c>
      <c r="K15" s="136" t="s">
        <v>574</v>
      </c>
      <c r="L15" s="136" t="s">
        <v>574</v>
      </c>
      <c r="M15" s="136" t="s">
        <v>574</v>
      </c>
      <c r="N15" s="136" t="s">
        <v>574</v>
      </c>
      <c r="O15" s="136" t="s">
        <v>574</v>
      </c>
      <c r="P15" s="136" t="s">
        <v>574</v>
      </c>
      <c r="Q15" s="19" t="s">
        <v>575</v>
      </c>
      <c r="R15" s="2"/>
      <c r="W15" s="19"/>
    </row>
    <row r="16" spans="1:27" x14ac:dyDescent="0.25">
      <c r="A16" s="2" t="s">
        <v>59</v>
      </c>
      <c r="B16" s="2" t="s">
        <v>58</v>
      </c>
      <c r="C16" s="2" t="s">
        <v>19</v>
      </c>
      <c r="D16" s="2"/>
      <c r="E16" s="2" t="s">
        <v>56</v>
      </c>
      <c r="F16" s="2" t="s">
        <v>20</v>
      </c>
      <c r="G16" s="2" t="s">
        <v>7</v>
      </c>
      <c r="H16" s="54">
        <v>0.70382235369363599</v>
      </c>
      <c r="I16" s="136" t="s">
        <v>574</v>
      </c>
      <c r="J16" s="136" t="s">
        <v>574</v>
      </c>
      <c r="K16" s="136" t="s">
        <v>574</v>
      </c>
      <c r="L16" s="136" t="s">
        <v>574</v>
      </c>
      <c r="M16" s="136" t="s">
        <v>574</v>
      </c>
      <c r="N16" s="136" t="s">
        <v>574</v>
      </c>
      <c r="O16" s="136" t="s">
        <v>574</v>
      </c>
      <c r="P16" s="136" t="s">
        <v>574</v>
      </c>
      <c r="Q16" s="19" t="s">
        <v>575</v>
      </c>
      <c r="R16" s="2"/>
      <c r="W16" s="19"/>
    </row>
    <row r="17" spans="1:27" x14ac:dyDescent="0.25">
      <c r="A17" s="2" t="s">
        <v>177</v>
      </c>
      <c r="B17" s="2" t="s">
        <v>178</v>
      </c>
      <c r="C17" s="2" t="s">
        <v>19</v>
      </c>
      <c r="D17" s="2"/>
      <c r="E17" s="2" t="s">
        <v>56</v>
      </c>
      <c r="F17" s="2" t="s">
        <v>20</v>
      </c>
      <c r="G17" s="2" t="s">
        <v>7</v>
      </c>
      <c r="H17" s="54"/>
      <c r="I17" s="54"/>
      <c r="J17" s="54"/>
      <c r="K17" s="54"/>
      <c r="L17" s="54"/>
      <c r="M17" s="54"/>
      <c r="N17" s="54"/>
      <c r="O17" s="54"/>
      <c r="P17" s="54"/>
      <c r="Q17" s="19"/>
      <c r="R17" s="2"/>
      <c r="W17" s="19"/>
    </row>
    <row r="18" spans="1:27" x14ac:dyDescent="0.25">
      <c r="A18" s="2" t="s">
        <v>236</v>
      </c>
      <c r="B18" s="2" t="s">
        <v>237</v>
      </c>
      <c r="C18" s="2" t="s">
        <v>19</v>
      </c>
      <c r="D18" s="8"/>
      <c r="E18" s="2" t="s">
        <v>33</v>
      </c>
      <c r="F18" s="2" t="s">
        <v>20</v>
      </c>
      <c r="G18" s="2" t="s">
        <v>7</v>
      </c>
      <c r="H18" s="5">
        <v>-1.9523504956827601E-4</v>
      </c>
      <c r="I18" s="136" t="s">
        <v>574</v>
      </c>
      <c r="J18" s="136" t="s">
        <v>574</v>
      </c>
      <c r="K18" s="136" t="s">
        <v>574</v>
      </c>
      <c r="L18" s="136" t="s">
        <v>574</v>
      </c>
      <c r="M18" s="136" t="s">
        <v>574</v>
      </c>
      <c r="N18" s="136" t="s">
        <v>574</v>
      </c>
      <c r="O18" s="136" t="s">
        <v>574</v>
      </c>
      <c r="P18" s="136" t="s">
        <v>574</v>
      </c>
      <c r="Q18" s="19" t="s">
        <v>575</v>
      </c>
      <c r="R18" s="20"/>
      <c r="W18" s="20"/>
    </row>
    <row r="19" spans="1:27" x14ac:dyDescent="0.25">
      <c r="A19" s="2" t="s">
        <v>235</v>
      </c>
      <c r="B19" s="2" t="s">
        <v>38</v>
      </c>
      <c r="C19" s="2" t="s">
        <v>19</v>
      </c>
      <c r="D19" s="12"/>
      <c r="E19" s="2" t="s">
        <v>15</v>
      </c>
      <c r="F19" s="2" t="s">
        <v>20</v>
      </c>
      <c r="G19" s="2" t="s">
        <v>6</v>
      </c>
      <c r="H19" s="5">
        <v>3.9047009913655297E-10</v>
      </c>
      <c r="I19" s="136" t="s">
        <v>574</v>
      </c>
      <c r="J19" s="136" t="s">
        <v>574</v>
      </c>
      <c r="K19" s="136" t="s">
        <v>574</v>
      </c>
      <c r="L19" s="136" t="s">
        <v>574</v>
      </c>
      <c r="M19" s="136" t="s">
        <v>574</v>
      </c>
      <c r="N19" s="136" t="s">
        <v>574</v>
      </c>
      <c r="O19" s="136" t="s">
        <v>574</v>
      </c>
      <c r="P19" s="136" t="s">
        <v>574</v>
      </c>
      <c r="Q19" s="19" t="s">
        <v>575</v>
      </c>
      <c r="R19" s="2"/>
      <c r="W19" s="2"/>
      <c r="Z19" s="15"/>
      <c r="AA19" s="15"/>
    </row>
    <row r="20" spans="1:27" x14ac:dyDescent="0.25">
      <c r="A20" s="1" t="s">
        <v>378</v>
      </c>
      <c r="B20" s="1" t="s">
        <v>378</v>
      </c>
      <c r="C20" s="1" t="s">
        <v>518</v>
      </c>
      <c r="D20" s="8"/>
      <c r="E20" s="1" t="s">
        <v>33</v>
      </c>
      <c r="F20" s="1" t="s">
        <v>20</v>
      </c>
      <c r="G20" s="1" t="s">
        <v>7</v>
      </c>
      <c r="H20" s="54"/>
      <c r="I20" s="54">
        <f>1.40569235689159*ParametersCalculation!$B$93</f>
        <v>1.4009130028781587</v>
      </c>
      <c r="J20" s="54">
        <f>1.40569235689159*ParametersCalculation!$B$93</f>
        <v>1.4009130028781587</v>
      </c>
      <c r="K20" s="5"/>
      <c r="L20" s="54">
        <f>1.40569235689159*ParametersCalculation!$B$93</f>
        <v>1.4009130028781587</v>
      </c>
      <c r="M20" s="54">
        <f>1.40569235689159*ParametersCalculation!$B$93</f>
        <v>1.4009130028781587</v>
      </c>
      <c r="N20" s="5"/>
      <c r="O20" s="54">
        <f>1.40569235689159*ParametersCalculation!$B$93</f>
        <v>1.4009130028781587</v>
      </c>
      <c r="P20" s="54">
        <f>1.40569235689159*ParametersCalculation!$B$93</f>
        <v>1.4009130028781587</v>
      </c>
      <c r="Q20" s="1" t="s">
        <v>297</v>
      </c>
      <c r="R20" s="2"/>
      <c r="W20" s="2"/>
      <c r="Z20" s="15"/>
      <c r="AA20" s="15"/>
    </row>
    <row r="21" spans="1:27" x14ac:dyDescent="0.25">
      <c r="A21" s="2" t="s">
        <v>226</v>
      </c>
      <c r="B21" s="2"/>
      <c r="C21" s="2" t="s">
        <v>16</v>
      </c>
      <c r="D21" s="12" t="s">
        <v>22</v>
      </c>
      <c r="E21" s="2"/>
      <c r="F21" s="2" t="s">
        <v>17</v>
      </c>
      <c r="G21" s="2" t="s">
        <v>7</v>
      </c>
      <c r="H21" s="54">
        <v>1.40569235689159</v>
      </c>
      <c r="I21" s="54">
        <f>1.40569235689159*(1-ParametersCalculation!$B$93)</f>
        <v>4.7793540134313476E-3</v>
      </c>
      <c r="J21" s="54">
        <f>1.40569235689159*(1-ParametersCalculation!$B$93)</f>
        <v>4.7793540134313476E-3</v>
      </c>
      <c r="K21" s="5"/>
      <c r="L21" s="5"/>
      <c r="M21" s="5"/>
      <c r="N21" s="5"/>
      <c r="O21" s="5"/>
      <c r="P21" s="5"/>
      <c r="Q21" s="1" t="s">
        <v>300</v>
      </c>
      <c r="R21" s="2"/>
      <c r="W21" s="2"/>
      <c r="Z21" s="15"/>
      <c r="AA21" s="15"/>
    </row>
    <row r="22" spans="1:27" x14ac:dyDescent="0.25">
      <c r="A22" s="2" t="s">
        <v>21</v>
      </c>
      <c r="B22" s="2"/>
      <c r="C22" s="2" t="s">
        <v>16</v>
      </c>
      <c r="D22" s="12" t="s">
        <v>22</v>
      </c>
      <c r="E22" s="2"/>
      <c r="F22" s="2" t="s">
        <v>17</v>
      </c>
      <c r="G22" s="2" t="s">
        <v>7</v>
      </c>
      <c r="H22" s="54"/>
      <c r="I22" s="54"/>
      <c r="J22" s="54"/>
      <c r="K22" s="54">
        <v>1.40569235689159</v>
      </c>
      <c r="L22" s="54">
        <f>1.40569235689159*(1-ParametersCalculation!$B$93)</f>
        <v>4.7793540134313476E-3</v>
      </c>
      <c r="M22" s="54">
        <f>1.40569235689159*(1-ParametersCalculation!$B$93)</f>
        <v>4.7793540134313476E-3</v>
      </c>
      <c r="N22" s="54">
        <v>1.40569235689159</v>
      </c>
      <c r="O22" s="54">
        <f>1.40569235689159*(1-ParametersCalculation!$B$93)</f>
        <v>4.7793540134313476E-3</v>
      </c>
      <c r="P22" s="54">
        <f>1.40569235689159*(1-ParametersCalculation!$B$93)</f>
        <v>4.7793540134313476E-3</v>
      </c>
      <c r="Q22" s="1" t="s">
        <v>300</v>
      </c>
      <c r="R22" s="2"/>
      <c r="W22" s="2"/>
      <c r="Z22" s="15"/>
      <c r="AA22" s="15"/>
    </row>
    <row r="23" spans="1:27" x14ac:dyDescent="0.25">
      <c r="A23" s="2" t="s">
        <v>180</v>
      </c>
      <c r="B23" s="2"/>
      <c r="C23" s="2" t="s">
        <v>16</v>
      </c>
      <c r="D23" s="2" t="s">
        <v>181</v>
      </c>
      <c r="E23" s="2"/>
      <c r="F23" s="2" t="s">
        <v>17</v>
      </c>
      <c r="G23" s="2" t="s">
        <v>23</v>
      </c>
      <c r="H23" s="54">
        <v>0.13666453469779299</v>
      </c>
      <c r="I23" s="136" t="s">
        <v>574</v>
      </c>
      <c r="J23" s="136" t="s">
        <v>574</v>
      </c>
      <c r="K23" s="136" t="s">
        <v>574</v>
      </c>
      <c r="L23" s="136" t="s">
        <v>574</v>
      </c>
      <c r="M23" s="136" t="s">
        <v>574</v>
      </c>
      <c r="N23" s="136" t="s">
        <v>574</v>
      </c>
      <c r="O23" s="136" t="s">
        <v>574</v>
      </c>
      <c r="P23" s="136" t="s">
        <v>574</v>
      </c>
      <c r="Q23" s="19" t="s">
        <v>575</v>
      </c>
      <c r="S23" s="20"/>
      <c r="W23" s="20"/>
    </row>
    <row r="24" spans="1:27" x14ac:dyDescent="0.25">
      <c r="A24" s="2" t="s">
        <v>241</v>
      </c>
      <c r="B24" s="2"/>
      <c r="C24" s="2" t="s">
        <v>16</v>
      </c>
      <c r="D24" s="8" t="s">
        <v>22</v>
      </c>
      <c r="E24" s="2"/>
      <c r="F24" s="2" t="s">
        <v>17</v>
      </c>
      <c r="G24" s="2" t="s">
        <v>7</v>
      </c>
      <c r="H24" s="5">
        <v>1.06E-3</v>
      </c>
      <c r="I24" s="5">
        <v>1.06E-3</v>
      </c>
      <c r="J24" s="5">
        <v>1.06E-3</v>
      </c>
      <c r="K24" s="5">
        <v>1.06E-3</v>
      </c>
      <c r="L24" s="5">
        <v>1.06E-3</v>
      </c>
      <c r="M24" s="5">
        <v>1.06E-3</v>
      </c>
      <c r="N24" s="5">
        <v>1.06E-3</v>
      </c>
      <c r="O24" s="5">
        <v>1.06E-3</v>
      </c>
      <c r="P24" s="5">
        <v>1.06E-3</v>
      </c>
      <c r="Q24" s="1" t="s">
        <v>308</v>
      </c>
      <c r="S24" s="20"/>
      <c r="W24" s="20"/>
    </row>
    <row r="25" spans="1:27" x14ac:dyDescent="0.25">
      <c r="A25" s="2" t="s">
        <v>63</v>
      </c>
      <c r="B25" s="2"/>
      <c r="C25" s="2" t="s">
        <v>16</v>
      </c>
      <c r="D25" s="8" t="s">
        <v>22</v>
      </c>
      <c r="E25" s="2"/>
      <c r="F25" s="2" t="s">
        <v>17</v>
      </c>
      <c r="G25" s="2" t="s">
        <v>7</v>
      </c>
      <c r="H25" s="5">
        <v>2.0100000000000001E-3</v>
      </c>
      <c r="I25" s="5">
        <v>2.0100000000000001E-3</v>
      </c>
      <c r="J25" s="5">
        <v>2.0100000000000001E-3</v>
      </c>
      <c r="K25" s="5">
        <v>2.0100000000000001E-3</v>
      </c>
      <c r="L25" s="5">
        <v>2.0100000000000001E-3</v>
      </c>
      <c r="M25" s="5">
        <v>2.0100000000000001E-3</v>
      </c>
      <c r="N25" s="5">
        <v>2.0100000000000001E-3</v>
      </c>
      <c r="O25" s="5">
        <v>2.0100000000000001E-3</v>
      </c>
      <c r="P25" s="5">
        <v>2.0100000000000001E-3</v>
      </c>
      <c r="Q25" s="1" t="s">
        <v>308</v>
      </c>
      <c r="S25" s="20"/>
      <c r="W25" s="20"/>
    </row>
    <row r="26" spans="1:27" x14ac:dyDescent="0.25">
      <c r="A26" s="2" t="s">
        <v>43</v>
      </c>
      <c r="B26" s="2"/>
      <c r="C26" s="2" t="s">
        <v>16</v>
      </c>
      <c r="D26" s="2" t="s">
        <v>141</v>
      </c>
      <c r="E26" s="2"/>
      <c r="F26" s="2" t="s">
        <v>17</v>
      </c>
      <c r="G26" s="2" t="s">
        <v>7</v>
      </c>
      <c r="H26" s="5">
        <v>1.1714102974096601E-4</v>
      </c>
      <c r="I26" s="136" t="s">
        <v>574</v>
      </c>
      <c r="J26" s="136" t="s">
        <v>574</v>
      </c>
      <c r="K26" s="136" t="s">
        <v>574</v>
      </c>
      <c r="L26" s="136" t="s">
        <v>574</v>
      </c>
      <c r="M26" s="136" t="s">
        <v>574</v>
      </c>
      <c r="N26" s="136" t="s">
        <v>574</v>
      </c>
      <c r="O26" s="136" t="s">
        <v>574</v>
      </c>
      <c r="P26" s="136" t="s">
        <v>574</v>
      </c>
      <c r="Q26" s="19" t="s">
        <v>575</v>
      </c>
      <c r="S26" s="20"/>
      <c r="W26" s="20"/>
    </row>
    <row r="27" spans="1:27" x14ac:dyDescent="0.25">
      <c r="A27" s="2" t="s">
        <v>148</v>
      </c>
      <c r="B27" s="2"/>
      <c r="C27" s="2" t="s">
        <v>16</v>
      </c>
      <c r="D27" s="8" t="s">
        <v>22</v>
      </c>
      <c r="E27" s="2"/>
      <c r="F27" s="2" t="s">
        <v>17</v>
      </c>
      <c r="G27" s="2" t="s">
        <v>7</v>
      </c>
      <c r="H27" s="5">
        <v>6.8332267348896695E-4</v>
      </c>
      <c r="I27" s="136" t="s">
        <v>574</v>
      </c>
      <c r="J27" s="136" t="s">
        <v>574</v>
      </c>
      <c r="K27" s="136" t="s">
        <v>574</v>
      </c>
      <c r="L27" s="136" t="s">
        <v>574</v>
      </c>
      <c r="M27" s="136" t="s">
        <v>574</v>
      </c>
      <c r="N27" s="136" t="s">
        <v>574</v>
      </c>
      <c r="O27" s="136" t="s">
        <v>574</v>
      </c>
      <c r="P27" s="136" t="s">
        <v>574</v>
      </c>
      <c r="Q27" s="19" t="s">
        <v>575</v>
      </c>
      <c r="S27" s="20"/>
      <c r="W27" s="20"/>
    </row>
    <row r="28" spans="1:27" x14ac:dyDescent="0.25">
      <c r="A28" s="2" t="s">
        <v>183</v>
      </c>
      <c r="B28" s="2"/>
      <c r="C28" s="2" t="s">
        <v>16</v>
      </c>
      <c r="D28" s="2" t="s">
        <v>141</v>
      </c>
      <c r="E28" s="2"/>
      <c r="F28" s="2" t="s">
        <v>17</v>
      </c>
      <c r="G28" s="2" t="s">
        <v>23</v>
      </c>
      <c r="H28" s="5">
        <v>8.4405480892229004E-2</v>
      </c>
      <c r="I28" s="136" t="s">
        <v>574</v>
      </c>
      <c r="J28" s="136" t="s">
        <v>574</v>
      </c>
      <c r="K28" s="136" t="s">
        <v>574</v>
      </c>
      <c r="L28" s="136" t="s">
        <v>574</v>
      </c>
      <c r="M28" s="136" t="s">
        <v>574</v>
      </c>
      <c r="N28" s="136" t="s">
        <v>574</v>
      </c>
      <c r="O28" s="136" t="s">
        <v>574</v>
      </c>
      <c r="P28" s="136" t="s">
        <v>574</v>
      </c>
      <c r="Q28" s="19" t="s">
        <v>575</v>
      </c>
      <c r="S28" s="20"/>
      <c r="W28" s="20"/>
    </row>
    <row r="29" spans="1:27" x14ac:dyDescent="0.25">
      <c r="A29" s="49" t="s">
        <v>183</v>
      </c>
      <c r="B29" s="2"/>
      <c r="C29" s="1" t="s">
        <v>16</v>
      </c>
      <c r="D29" s="1" t="s">
        <v>25</v>
      </c>
      <c r="E29" s="2"/>
      <c r="F29" s="2" t="s">
        <v>17</v>
      </c>
      <c r="G29" s="1" t="s">
        <v>23</v>
      </c>
      <c r="H29" s="5">
        <v>5.3103933482571197E-2</v>
      </c>
      <c r="I29" s="136" t="s">
        <v>574</v>
      </c>
      <c r="J29" s="136" t="s">
        <v>574</v>
      </c>
      <c r="K29" s="136" t="s">
        <v>574</v>
      </c>
      <c r="L29" s="136" t="s">
        <v>574</v>
      </c>
      <c r="M29" s="136" t="s">
        <v>574</v>
      </c>
      <c r="N29" s="136" t="s">
        <v>574</v>
      </c>
      <c r="O29" s="136" t="s">
        <v>574</v>
      </c>
      <c r="P29" s="136" t="s">
        <v>574</v>
      </c>
      <c r="Q29" s="19" t="s">
        <v>575</v>
      </c>
      <c r="S29" s="19"/>
      <c r="W29" s="2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65D3E-AF91-4E95-8D12-FFA6A642E1EA}">
  <dimension ref="A1:P93"/>
  <sheetViews>
    <sheetView topLeftCell="A61" zoomScale="85" zoomScaleNormal="85" workbookViewId="0">
      <selection activeCell="I91" sqref="I91"/>
    </sheetView>
  </sheetViews>
  <sheetFormatPr defaultColWidth="9.140625" defaultRowHeight="15" x14ac:dyDescent="0.25"/>
  <cols>
    <col min="1" max="1" width="81.42578125" style="2" bestFit="1" customWidth="1"/>
    <col min="2" max="2" width="25.85546875" style="2" customWidth="1"/>
    <col min="3" max="3" width="12.7109375" style="8" bestFit="1" customWidth="1"/>
    <col min="4" max="4" width="13.5703125" style="2" bestFit="1" customWidth="1"/>
    <col min="5" max="5" width="16.85546875" style="2" bestFit="1" customWidth="1"/>
    <col min="6" max="6" width="9.28515625" style="2" bestFit="1" customWidth="1"/>
    <col min="7" max="7" width="9.140625" style="2"/>
    <col min="8" max="8" width="14.5703125" style="2" bestFit="1" customWidth="1"/>
    <col min="9" max="16384" width="9.140625" style="2"/>
  </cols>
  <sheetData>
    <row r="1" spans="1:16" x14ac:dyDescent="0.25">
      <c r="A1" s="4" t="s">
        <v>1</v>
      </c>
      <c r="B1" s="4" t="s">
        <v>306</v>
      </c>
      <c r="C1" s="7"/>
    </row>
    <row r="2" spans="1:16" x14ac:dyDescent="0.25">
      <c r="A2" s="4" t="s">
        <v>2</v>
      </c>
      <c r="B2" s="2" t="s">
        <v>466</v>
      </c>
      <c r="C2" s="7"/>
    </row>
    <row r="3" spans="1:16" x14ac:dyDescent="0.25">
      <c r="A3" s="4" t="s">
        <v>3</v>
      </c>
      <c r="B3" s="2" t="s">
        <v>33</v>
      </c>
      <c r="C3" s="7"/>
    </row>
    <row r="4" spans="1:16" x14ac:dyDescent="0.25">
      <c r="A4" s="10" t="s">
        <v>10</v>
      </c>
      <c r="B4" s="2" t="s">
        <v>360</v>
      </c>
      <c r="C4" s="7"/>
    </row>
    <row r="5" spans="1:16" x14ac:dyDescent="0.25">
      <c r="A5" s="4" t="s">
        <v>4</v>
      </c>
      <c r="B5" s="8">
        <v>1</v>
      </c>
      <c r="C5" s="7"/>
      <c r="D5" s="5"/>
    </row>
    <row r="6" spans="1:16" x14ac:dyDescent="0.25">
      <c r="A6" s="4" t="s">
        <v>6</v>
      </c>
      <c r="B6" s="2" t="s">
        <v>7</v>
      </c>
      <c r="C6" s="7"/>
      <c r="D6" s="5"/>
    </row>
    <row r="7" spans="1:16" x14ac:dyDescent="0.25">
      <c r="A7" s="4" t="s">
        <v>18</v>
      </c>
      <c r="B7" s="2" t="s">
        <v>315</v>
      </c>
      <c r="C7" s="7"/>
      <c r="D7" s="5"/>
    </row>
    <row r="8" spans="1:16" x14ac:dyDescent="0.25">
      <c r="A8" s="4" t="s">
        <v>8</v>
      </c>
      <c r="C8" s="7"/>
      <c r="P8" s="60"/>
    </row>
    <row r="9" spans="1:16" x14ac:dyDescent="0.25">
      <c r="A9" s="4" t="s">
        <v>9</v>
      </c>
      <c r="B9" s="4" t="s">
        <v>10</v>
      </c>
      <c r="C9" s="9" t="s">
        <v>11</v>
      </c>
      <c r="D9" s="4" t="s">
        <v>6</v>
      </c>
      <c r="E9" s="4" t="s">
        <v>12</v>
      </c>
      <c r="F9" s="4" t="s">
        <v>13</v>
      </c>
      <c r="G9" s="4" t="s">
        <v>3</v>
      </c>
      <c r="H9" s="4" t="s">
        <v>5</v>
      </c>
      <c r="I9" s="4" t="s">
        <v>2</v>
      </c>
    </row>
    <row r="10" spans="1:16" x14ac:dyDescent="0.25">
      <c r="A10" s="8" t="s">
        <v>306</v>
      </c>
      <c r="B10" s="2" t="s">
        <v>360</v>
      </c>
      <c r="C10" s="16">
        <v>1</v>
      </c>
      <c r="D10" s="1" t="s">
        <v>7</v>
      </c>
      <c r="E10" s="1" t="s">
        <v>518</v>
      </c>
      <c r="F10" s="8"/>
      <c r="G10" s="1" t="s">
        <v>33</v>
      </c>
      <c r="H10" s="2" t="s">
        <v>14</v>
      </c>
    </row>
    <row r="11" spans="1:16" x14ac:dyDescent="0.25">
      <c r="A11" s="2" t="s">
        <v>232</v>
      </c>
      <c r="B11" s="8" t="s">
        <v>225</v>
      </c>
      <c r="C11" s="16">
        <v>0.17599999999999999</v>
      </c>
      <c r="D11" s="2" t="s">
        <v>7</v>
      </c>
      <c r="E11" s="1" t="s">
        <v>518</v>
      </c>
      <c r="G11" s="2" t="s">
        <v>33</v>
      </c>
      <c r="H11" s="2" t="s">
        <v>20</v>
      </c>
      <c r="I11" s="2" t="s">
        <v>308</v>
      </c>
    </row>
    <row r="12" spans="1:16" x14ac:dyDescent="0.25">
      <c r="A12" s="8" t="s">
        <v>309</v>
      </c>
      <c r="B12" s="8" t="s">
        <v>310</v>
      </c>
      <c r="C12" s="8">
        <v>0.81499999999999995</v>
      </c>
      <c r="D12" s="2" t="s">
        <v>7</v>
      </c>
      <c r="E12" s="1" t="s">
        <v>518</v>
      </c>
      <c r="G12" s="2" t="s">
        <v>33</v>
      </c>
      <c r="H12" s="2" t="s">
        <v>20</v>
      </c>
      <c r="I12" s="2" t="s">
        <v>308</v>
      </c>
    </row>
    <row r="13" spans="1:16" x14ac:dyDescent="0.25">
      <c r="A13" s="2" t="s">
        <v>50</v>
      </c>
      <c r="B13" s="2" t="s">
        <v>49</v>
      </c>
      <c r="C13" s="16">
        <f>(0.556/0.935)*0.227774224496322</f>
        <v>0.13544649071652948</v>
      </c>
      <c r="D13" s="2" t="s">
        <v>35</v>
      </c>
      <c r="E13" s="2" t="s">
        <v>19</v>
      </c>
      <c r="G13" s="2" t="s">
        <v>33</v>
      </c>
      <c r="H13" s="2" t="s">
        <v>20</v>
      </c>
      <c r="I13" s="2" t="s">
        <v>307</v>
      </c>
    </row>
    <row r="14" spans="1:16" x14ac:dyDescent="0.25">
      <c r="A14" s="8" t="s">
        <v>235</v>
      </c>
      <c r="B14" s="2" t="s">
        <v>38</v>
      </c>
      <c r="C14" s="136" t="s">
        <v>574</v>
      </c>
      <c r="D14" s="2" t="s">
        <v>6</v>
      </c>
      <c r="E14" s="2" t="s">
        <v>19</v>
      </c>
      <c r="F14" s="12"/>
      <c r="G14" s="2" t="s">
        <v>15</v>
      </c>
      <c r="H14" s="2" t="s">
        <v>20</v>
      </c>
      <c r="I14" s="19" t="s">
        <v>575</v>
      </c>
    </row>
    <row r="15" spans="1:16" x14ac:dyDescent="0.25">
      <c r="A15" s="8" t="s">
        <v>175</v>
      </c>
      <c r="B15" s="2" t="s">
        <v>176</v>
      </c>
      <c r="C15" s="136" t="s">
        <v>574</v>
      </c>
      <c r="D15" s="2" t="s">
        <v>7</v>
      </c>
      <c r="E15" s="7" t="s">
        <v>19</v>
      </c>
      <c r="G15" s="2" t="s">
        <v>15</v>
      </c>
      <c r="H15" s="12" t="s">
        <v>20</v>
      </c>
      <c r="I15" s="19" t="s">
        <v>575</v>
      </c>
    </row>
    <row r="16" spans="1:16" x14ac:dyDescent="0.25">
      <c r="A16" s="8" t="s">
        <v>236</v>
      </c>
      <c r="B16" s="2" t="s">
        <v>237</v>
      </c>
      <c r="C16" s="136" t="s">
        <v>574</v>
      </c>
      <c r="D16" s="2" t="s">
        <v>7</v>
      </c>
      <c r="E16" s="7" t="s">
        <v>19</v>
      </c>
      <c r="G16" s="7" t="s">
        <v>33</v>
      </c>
      <c r="H16" s="2" t="s">
        <v>20</v>
      </c>
      <c r="I16" s="19" t="s">
        <v>575</v>
      </c>
    </row>
    <row r="17" spans="1:9" x14ac:dyDescent="0.25">
      <c r="A17" s="8" t="s">
        <v>180</v>
      </c>
      <c r="C17" s="136" t="s">
        <v>574</v>
      </c>
      <c r="D17" s="2" t="s">
        <v>23</v>
      </c>
      <c r="E17" s="7" t="s">
        <v>16</v>
      </c>
      <c r="F17" s="2" t="s">
        <v>181</v>
      </c>
      <c r="H17" s="2" t="s">
        <v>17</v>
      </c>
      <c r="I17" s="19" t="s">
        <v>575</v>
      </c>
    </row>
    <row r="18" spans="1:9" x14ac:dyDescent="0.25">
      <c r="A18" s="2" t="s">
        <v>241</v>
      </c>
      <c r="C18" s="7">
        <v>7.67E-4</v>
      </c>
      <c r="D18" s="2" t="s">
        <v>7</v>
      </c>
      <c r="E18" s="2" t="s">
        <v>16</v>
      </c>
      <c r="F18" s="8" t="s">
        <v>22</v>
      </c>
      <c r="H18" s="2" t="s">
        <v>17</v>
      </c>
      <c r="I18" s="2" t="s">
        <v>308</v>
      </c>
    </row>
    <row r="19" spans="1:9" x14ac:dyDescent="0.25">
      <c r="A19" s="2" t="s">
        <v>63</v>
      </c>
      <c r="C19" s="7">
        <v>1.6299999999999999E-3</v>
      </c>
      <c r="D19" s="2" t="s">
        <v>7</v>
      </c>
      <c r="E19" s="2" t="s">
        <v>16</v>
      </c>
      <c r="F19" s="8" t="s">
        <v>22</v>
      </c>
      <c r="H19" s="2" t="s">
        <v>17</v>
      </c>
      <c r="I19" s="2" t="s">
        <v>308</v>
      </c>
    </row>
    <row r="20" spans="1:9" x14ac:dyDescent="0.25">
      <c r="A20" s="2" t="s">
        <v>148</v>
      </c>
      <c r="C20" s="136" t="s">
        <v>574</v>
      </c>
      <c r="D20" s="2" t="s">
        <v>7</v>
      </c>
      <c r="E20" s="2" t="s">
        <v>16</v>
      </c>
      <c r="F20" s="8" t="s">
        <v>22</v>
      </c>
      <c r="H20" s="2" t="s">
        <v>17</v>
      </c>
      <c r="I20" s="19" t="s">
        <v>575</v>
      </c>
    </row>
    <row r="21" spans="1:9" x14ac:dyDescent="0.25">
      <c r="A21" s="2" t="s">
        <v>183</v>
      </c>
      <c r="C21" s="7">
        <f>101/997</f>
        <v>0.10130391173520562</v>
      </c>
      <c r="D21" s="2" t="s">
        <v>23</v>
      </c>
      <c r="E21" s="2" t="s">
        <v>16</v>
      </c>
      <c r="F21" s="2" t="s">
        <v>182</v>
      </c>
      <c r="H21" s="2" t="s">
        <v>17</v>
      </c>
      <c r="I21" s="2" t="s">
        <v>308</v>
      </c>
    </row>
    <row r="22" spans="1:9" x14ac:dyDescent="0.25">
      <c r="A22" s="2" t="s">
        <v>183</v>
      </c>
      <c r="C22" s="7">
        <f>47.6/997</f>
        <v>4.7743229689067204E-2</v>
      </c>
      <c r="D22" s="2" t="s">
        <v>23</v>
      </c>
      <c r="E22" s="2" t="s">
        <v>16</v>
      </c>
      <c r="F22" s="2" t="s">
        <v>25</v>
      </c>
      <c r="H22" s="2" t="s">
        <v>17</v>
      </c>
      <c r="I22" s="2" t="s">
        <v>308</v>
      </c>
    </row>
    <row r="23" spans="1:9" s="6" customFormat="1" x14ac:dyDescent="0.25">
      <c r="C23" s="11"/>
    </row>
    <row r="24" spans="1:9" x14ac:dyDescent="0.25">
      <c r="A24" s="4" t="s">
        <v>1</v>
      </c>
      <c r="B24" s="4" t="s">
        <v>232</v>
      </c>
      <c r="C24" s="7"/>
    </row>
    <row r="25" spans="1:9" x14ac:dyDescent="0.25">
      <c r="A25" s="4" t="s">
        <v>2</v>
      </c>
      <c r="B25" s="2" t="s">
        <v>468</v>
      </c>
      <c r="C25" s="7"/>
    </row>
    <row r="26" spans="1:9" x14ac:dyDescent="0.25">
      <c r="A26" s="4" t="s">
        <v>3</v>
      </c>
      <c r="B26" s="2" t="s">
        <v>33</v>
      </c>
      <c r="C26" s="7"/>
    </row>
    <row r="27" spans="1:9" x14ac:dyDescent="0.25">
      <c r="A27" s="10" t="s">
        <v>10</v>
      </c>
      <c r="B27" s="1" t="s">
        <v>225</v>
      </c>
      <c r="C27" s="7"/>
    </row>
    <row r="28" spans="1:9" x14ac:dyDescent="0.25">
      <c r="A28" s="4" t="s">
        <v>4</v>
      </c>
      <c r="B28" s="8">
        <v>1</v>
      </c>
      <c r="C28" s="7"/>
      <c r="D28" s="5"/>
    </row>
    <row r="29" spans="1:9" x14ac:dyDescent="0.25">
      <c r="A29" s="4" t="s">
        <v>6</v>
      </c>
      <c r="B29" s="2" t="s">
        <v>7</v>
      </c>
      <c r="C29" s="7"/>
      <c r="D29" s="5"/>
    </row>
    <row r="30" spans="1:9" x14ac:dyDescent="0.25">
      <c r="A30" s="4" t="s">
        <v>18</v>
      </c>
      <c r="B30" s="2" t="s">
        <v>467</v>
      </c>
      <c r="C30" s="7"/>
      <c r="D30" s="5"/>
    </row>
    <row r="31" spans="1:9" x14ac:dyDescent="0.25">
      <c r="A31" s="4" t="s">
        <v>8</v>
      </c>
      <c r="C31" s="7"/>
    </row>
    <row r="32" spans="1:9" x14ac:dyDescent="0.25">
      <c r="A32" s="4" t="s">
        <v>9</v>
      </c>
      <c r="B32" s="4" t="s">
        <v>10</v>
      </c>
      <c r="C32" s="9" t="s">
        <v>11</v>
      </c>
      <c r="D32" s="4" t="s">
        <v>6</v>
      </c>
      <c r="E32" s="4" t="s">
        <v>12</v>
      </c>
      <c r="F32" s="4" t="s">
        <v>13</v>
      </c>
      <c r="G32" s="4" t="s">
        <v>3</v>
      </c>
      <c r="H32" s="4" t="s">
        <v>5</v>
      </c>
      <c r="I32" s="4" t="s">
        <v>2</v>
      </c>
    </row>
    <row r="33" spans="1:9" x14ac:dyDescent="0.25">
      <c r="A33" s="8" t="s">
        <v>232</v>
      </c>
      <c r="B33" s="1" t="s">
        <v>225</v>
      </c>
      <c r="C33" s="16">
        <v>1</v>
      </c>
      <c r="D33" s="1" t="s">
        <v>7</v>
      </c>
      <c r="E33" s="1" t="s">
        <v>518</v>
      </c>
      <c r="F33" s="8"/>
      <c r="G33" s="1" t="s">
        <v>33</v>
      </c>
      <c r="H33" s="2" t="s">
        <v>14</v>
      </c>
      <c r="I33" s="1"/>
    </row>
    <row r="34" spans="1:9" x14ac:dyDescent="0.25">
      <c r="A34" s="2" t="s">
        <v>228</v>
      </c>
      <c r="B34" s="8" t="s">
        <v>229</v>
      </c>
      <c r="C34" s="8">
        <v>55.051000000000002</v>
      </c>
      <c r="D34" s="2" t="s">
        <v>35</v>
      </c>
      <c r="E34" s="2" t="s">
        <v>19</v>
      </c>
      <c r="G34" s="2" t="s">
        <v>48</v>
      </c>
      <c r="H34" s="2" t="s">
        <v>20</v>
      </c>
    </row>
    <row r="35" spans="1:9" x14ac:dyDescent="0.25">
      <c r="A35" s="2" t="s">
        <v>230</v>
      </c>
      <c r="B35" s="8" t="s">
        <v>230</v>
      </c>
      <c r="C35" s="7">
        <v>3.2831536135045202E-7</v>
      </c>
      <c r="D35" s="2" t="s">
        <v>6</v>
      </c>
      <c r="E35" s="2" t="s">
        <v>19</v>
      </c>
      <c r="G35" s="2" t="s">
        <v>15</v>
      </c>
      <c r="H35" s="2" t="s">
        <v>20</v>
      </c>
    </row>
    <row r="36" spans="1:9" x14ac:dyDescent="0.25">
      <c r="A36" s="2" t="s">
        <v>231</v>
      </c>
      <c r="B36" s="8" t="s">
        <v>231</v>
      </c>
      <c r="C36" s="7">
        <v>9.3804388957272199E-7</v>
      </c>
      <c r="D36" s="2" t="s">
        <v>6</v>
      </c>
      <c r="E36" s="2" t="s">
        <v>19</v>
      </c>
      <c r="G36" s="2" t="s">
        <v>15</v>
      </c>
      <c r="H36" s="2" t="s">
        <v>20</v>
      </c>
    </row>
    <row r="37" spans="1:9" x14ac:dyDescent="0.25">
      <c r="A37" s="2" t="s">
        <v>177</v>
      </c>
      <c r="B37" s="8" t="s">
        <v>178</v>
      </c>
      <c r="C37" s="8">
        <v>12</v>
      </c>
      <c r="D37" s="2" t="s">
        <v>7</v>
      </c>
      <c r="E37" s="2" t="s">
        <v>19</v>
      </c>
      <c r="G37" s="2" t="s">
        <v>56</v>
      </c>
      <c r="H37" s="2" t="s">
        <v>20</v>
      </c>
    </row>
    <row r="38" spans="1:9" x14ac:dyDescent="0.25">
      <c r="A38" s="6"/>
      <c r="B38" s="6"/>
      <c r="C38" s="11"/>
      <c r="D38" s="6"/>
      <c r="E38" s="6"/>
      <c r="F38" s="6"/>
      <c r="G38" s="6"/>
      <c r="H38" s="6"/>
      <c r="I38" s="6"/>
    </row>
    <row r="39" spans="1:9" x14ac:dyDescent="0.25">
      <c r="A39" s="4" t="s">
        <v>1</v>
      </c>
      <c r="B39" s="4" t="s">
        <v>230</v>
      </c>
      <c r="C39" s="7"/>
    </row>
    <row r="40" spans="1:9" x14ac:dyDescent="0.25">
      <c r="A40" s="4" t="s">
        <v>2</v>
      </c>
      <c r="B40" s="2" t="s">
        <v>477</v>
      </c>
      <c r="C40" s="7"/>
    </row>
    <row r="41" spans="1:9" x14ac:dyDescent="0.25">
      <c r="A41" s="4" t="s">
        <v>3</v>
      </c>
      <c r="B41" s="2" t="s">
        <v>15</v>
      </c>
      <c r="C41" s="7"/>
    </row>
    <row r="42" spans="1:9" x14ac:dyDescent="0.25">
      <c r="A42" s="10" t="s">
        <v>10</v>
      </c>
      <c r="B42" s="1" t="s">
        <v>230</v>
      </c>
      <c r="C42" s="7"/>
    </row>
    <row r="43" spans="1:9" x14ac:dyDescent="0.25">
      <c r="A43" s="4" t="s">
        <v>4</v>
      </c>
      <c r="B43" s="8">
        <v>1</v>
      </c>
      <c r="C43" s="7"/>
      <c r="D43" s="5"/>
    </row>
    <row r="44" spans="1:9" x14ac:dyDescent="0.25">
      <c r="A44" s="4" t="s">
        <v>6</v>
      </c>
      <c r="B44" s="2" t="s">
        <v>6</v>
      </c>
      <c r="C44" s="7"/>
      <c r="D44" s="5"/>
    </row>
    <row r="45" spans="1:9" x14ac:dyDescent="0.25">
      <c r="A45" s="4" t="s">
        <v>18</v>
      </c>
      <c r="B45" s="2" t="s">
        <v>467</v>
      </c>
      <c r="C45" s="7"/>
      <c r="D45" s="5"/>
    </row>
    <row r="46" spans="1:9" x14ac:dyDescent="0.25">
      <c r="A46" s="4" t="s">
        <v>8</v>
      </c>
      <c r="C46" s="7"/>
    </row>
    <row r="47" spans="1:9" x14ac:dyDescent="0.25">
      <c r="A47" s="4" t="s">
        <v>9</v>
      </c>
      <c r="B47" s="4" t="s">
        <v>10</v>
      </c>
      <c r="C47" s="9" t="s">
        <v>11</v>
      </c>
      <c r="D47" s="4" t="s">
        <v>6</v>
      </c>
      <c r="E47" s="4" t="s">
        <v>12</v>
      </c>
      <c r="F47" s="4" t="s">
        <v>13</v>
      </c>
      <c r="G47" s="4" t="s">
        <v>3</v>
      </c>
      <c r="H47" s="4" t="s">
        <v>5</v>
      </c>
      <c r="I47" s="4" t="s">
        <v>2</v>
      </c>
    </row>
    <row r="48" spans="1:9" x14ac:dyDescent="0.25">
      <c r="A48" s="1" t="s">
        <v>230</v>
      </c>
      <c r="B48" s="1" t="s">
        <v>230</v>
      </c>
      <c r="C48" s="16">
        <v>1</v>
      </c>
      <c r="D48" s="2" t="s">
        <v>6</v>
      </c>
      <c r="E48" s="1" t="s">
        <v>518</v>
      </c>
      <c r="F48" s="8"/>
      <c r="G48" s="1" t="s">
        <v>15</v>
      </c>
      <c r="H48" s="2" t="s">
        <v>14</v>
      </c>
    </row>
    <row r="49" spans="1:9" x14ac:dyDescent="0.25">
      <c r="A49" s="2" t="s">
        <v>133</v>
      </c>
      <c r="B49" s="8" t="s">
        <v>134</v>
      </c>
      <c r="C49" s="8">
        <v>1900</v>
      </c>
      <c r="D49" s="2" t="s">
        <v>7</v>
      </c>
      <c r="E49" s="2" t="s">
        <v>19</v>
      </c>
      <c r="G49" s="1" t="s">
        <v>15</v>
      </c>
      <c r="H49" s="2" t="s">
        <v>20</v>
      </c>
    </row>
    <row r="50" spans="1:9" x14ac:dyDescent="0.25">
      <c r="A50" s="2" t="s">
        <v>400</v>
      </c>
      <c r="B50" s="8" t="s">
        <v>401</v>
      </c>
      <c r="C50" s="8">
        <v>4800</v>
      </c>
      <c r="D50" s="2" t="s">
        <v>7</v>
      </c>
      <c r="E50" s="2" t="s">
        <v>19</v>
      </c>
      <c r="G50" s="1" t="s">
        <v>15</v>
      </c>
      <c r="H50" s="2" t="s">
        <v>20</v>
      </c>
    </row>
    <row r="51" spans="1:9" x14ac:dyDescent="0.25">
      <c r="A51" s="2" t="s">
        <v>469</v>
      </c>
      <c r="B51" s="8" t="s">
        <v>473</v>
      </c>
      <c r="C51" s="8">
        <v>100</v>
      </c>
      <c r="D51" s="2" t="s">
        <v>7</v>
      </c>
      <c r="E51" s="2" t="s">
        <v>19</v>
      </c>
      <c r="G51" s="1" t="s">
        <v>15</v>
      </c>
      <c r="H51" s="2" t="s">
        <v>20</v>
      </c>
    </row>
    <row r="52" spans="1:9" x14ac:dyDescent="0.25">
      <c r="A52" s="2" t="s">
        <v>470</v>
      </c>
      <c r="B52" s="8" t="s">
        <v>474</v>
      </c>
      <c r="C52" s="8">
        <v>100</v>
      </c>
      <c r="D52" s="2" t="s">
        <v>7</v>
      </c>
      <c r="E52" s="2" t="s">
        <v>19</v>
      </c>
      <c r="G52" s="1" t="s">
        <v>15</v>
      </c>
      <c r="H52" s="2" t="s">
        <v>20</v>
      </c>
    </row>
    <row r="53" spans="1:9" x14ac:dyDescent="0.25">
      <c r="A53" s="2" t="s">
        <v>471</v>
      </c>
      <c r="B53" s="8" t="s">
        <v>475</v>
      </c>
      <c r="C53" s="8">
        <v>300</v>
      </c>
      <c r="D53" s="2" t="s">
        <v>7</v>
      </c>
      <c r="E53" s="2" t="s">
        <v>19</v>
      </c>
      <c r="G53" s="1" t="s">
        <v>15</v>
      </c>
      <c r="H53" s="2" t="s">
        <v>20</v>
      </c>
    </row>
    <row r="54" spans="1:9" x14ac:dyDescent="0.25">
      <c r="A54" s="2" t="s">
        <v>472</v>
      </c>
      <c r="B54" s="8" t="s">
        <v>476</v>
      </c>
      <c r="C54" s="8">
        <v>1100</v>
      </c>
      <c r="D54" s="2" t="s">
        <v>7</v>
      </c>
      <c r="E54" s="2" t="s">
        <v>19</v>
      </c>
      <c r="G54" s="1" t="s">
        <v>15</v>
      </c>
      <c r="H54" s="2" t="s">
        <v>20</v>
      </c>
    </row>
    <row r="55" spans="1:9" x14ac:dyDescent="0.25">
      <c r="A55" s="2" t="s">
        <v>534</v>
      </c>
      <c r="B55" s="8" t="s">
        <v>535</v>
      </c>
      <c r="C55" s="16">
        <v>2.3333333333333299</v>
      </c>
      <c r="D55" s="2" t="s">
        <v>23</v>
      </c>
      <c r="E55" s="2" t="s">
        <v>19</v>
      </c>
      <c r="G55" s="1" t="s">
        <v>15</v>
      </c>
      <c r="H55" s="2" t="s">
        <v>20</v>
      </c>
    </row>
    <row r="56" spans="1:9" x14ac:dyDescent="0.25">
      <c r="A56" s="2" t="s">
        <v>125</v>
      </c>
      <c r="B56" s="8" t="s">
        <v>124</v>
      </c>
      <c r="C56" s="8">
        <v>200</v>
      </c>
      <c r="D56" s="2" t="s">
        <v>7</v>
      </c>
      <c r="E56" s="2" t="s">
        <v>19</v>
      </c>
      <c r="G56" s="1" t="s">
        <v>15</v>
      </c>
      <c r="H56" s="2" t="s">
        <v>20</v>
      </c>
    </row>
    <row r="57" spans="1:9" x14ac:dyDescent="0.25">
      <c r="A57" s="2" t="s">
        <v>478</v>
      </c>
      <c r="B57" s="8"/>
      <c r="C57" s="8">
        <v>14.864486400000001</v>
      </c>
      <c r="D57" s="2" t="s">
        <v>391</v>
      </c>
      <c r="E57" s="7" t="s">
        <v>16</v>
      </c>
      <c r="F57" s="2" t="s">
        <v>389</v>
      </c>
      <c r="H57" s="2" t="s">
        <v>17</v>
      </c>
    </row>
    <row r="58" spans="1:9" x14ac:dyDescent="0.25">
      <c r="A58" s="2" t="s">
        <v>479</v>
      </c>
      <c r="B58" s="8"/>
      <c r="C58" s="8">
        <v>14.864486400000001</v>
      </c>
      <c r="D58" s="2" t="s">
        <v>391</v>
      </c>
      <c r="E58" s="7" t="s">
        <v>16</v>
      </c>
      <c r="F58" s="2" t="s">
        <v>389</v>
      </c>
      <c r="H58" s="2" t="s">
        <v>17</v>
      </c>
    </row>
    <row r="59" spans="1:9" x14ac:dyDescent="0.25">
      <c r="A59" s="2" t="s">
        <v>480</v>
      </c>
      <c r="B59" s="8"/>
      <c r="C59" s="8">
        <v>297.28972800000003</v>
      </c>
      <c r="D59" s="2" t="s">
        <v>388</v>
      </c>
      <c r="E59" s="7" t="s">
        <v>16</v>
      </c>
      <c r="F59" s="2" t="s">
        <v>389</v>
      </c>
      <c r="H59" s="2" t="s">
        <v>17</v>
      </c>
    </row>
    <row r="60" spans="1:9" x14ac:dyDescent="0.25">
      <c r="A60" s="6"/>
      <c r="B60" s="6"/>
      <c r="C60" s="11"/>
      <c r="D60" s="6"/>
      <c r="E60" s="6"/>
      <c r="F60" s="6"/>
      <c r="G60" s="6"/>
      <c r="H60" s="6"/>
      <c r="I60" s="6"/>
    </row>
    <row r="61" spans="1:9" x14ac:dyDescent="0.25">
      <c r="A61" s="4" t="s">
        <v>1</v>
      </c>
      <c r="B61" s="4" t="s">
        <v>231</v>
      </c>
      <c r="C61" s="7"/>
    </row>
    <row r="62" spans="1:9" x14ac:dyDescent="0.25">
      <c r="A62" s="4" t="s">
        <v>2</v>
      </c>
      <c r="B62" s="2" t="s">
        <v>481</v>
      </c>
      <c r="C62" s="7"/>
    </row>
    <row r="63" spans="1:9" x14ac:dyDescent="0.25">
      <c r="A63" s="4" t="s">
        <v>3</v>
      </c>
      <c r="B63" s="2" t="s">
        <v>15</v>
      </c>
      <c r="C63" s="7"/>
    </row>
    <row r="64" spans="1:9" x14ac:dyDescent="0.25">
      <c r="A64" s="10" t="s">
        <v>10</v>
      </c>
      <c r="B64" s="1" t="s">
        <v>231</v>
      </c>
      <c r="C64" s="7"/>
    </row>
    <row r="65" spans="1:9" x14ac:dyDescent="0.25">
      <c r="A65" s="4" t="s">
        <v>4</v>
      </c>
      <c r="B65" s="8">
        <v>1</v>
      </c>
      <c r="C65" s="7"/>
      <c r="D65" s="5"/>
    </row>
    <row r="66" spans="1:9" x14ac:dyDescent="0.25">
      <c r="A66" s="4" t="s">
        <v>6</v>
      </c>
      <c r="B66" s="2" t="s">
        <v>6</v>
      </c>
      <c r="C66" s="7"/>
      <c r="D66" s="5"/>
    </row>
    <row r="67" spans="1:9" x14ac:dyDescent="0.25">
      <c r="A67" s="4" t="s">
        <v>18</v>
      </c>
      <c r="B67" s="2" t="s">
        <v>467</v>
      </c>
      <c r="C67" s="7"/>
      <c r="D67" s="5"/>
    </row>
    <row r="68" spans="1:9" x14ac:dyDescent="0.25">
      <c r="A68" s="4" t="s">
        <v>8</v>
      </c>
      <c r="C68" s="7"/>
    </row>
    <row r="69" spans="1:9" x14ac:dyDescent="0.25">
      <c r="A69" s="4" t="s">
        <v>9</v>
      </c>
      <c r="B69" s="4" t="s">
        <v>10</v>
      </c>
      <c r="C69" s="9" t="s">
        <v>11</v>
      </c>
      <c r="D69" s="4" t="s">
        <v>6</v>
      </c>
      <c r="E69" s="4" t="s">
        <v>12</v>
      </c>
      <c r="F69" s="4" t="s">
        <v>13</v>
      </c>
      <c r="G69" s="4" t="s">
        <v>3</v>
      </c>
      <c r="H69" s="4" t="s">
        <v>5</v>
      </c>
      <c r="I69" s="4" t="s">
        <v>2</v>
      </c>
    </row>
    <row r="70" spans="1:9" x14ac:dyDescent="0.25">
      <c r="A70" s="1" t="s">
        <v>231</v>
      </c>
      <c r="B70" s="1" t="s">
        <v>231</v>
      </c>
      <c r="C70" s="16">
        <v>1</v>
      </c>
      <c r="D70" s="2" t="s">
        <v>6</v>
      </c>
      <c r="E70" s="1" t="s">
        <v>518</v>
      </c>
      <c r="F70" s="8"/>
      <c r="G70" s="1" t="s">
        <v>15</v>
      </c>
      <c r="H70" s="2" t="s">
        <v>14</v>
      </c>
    </row>
    <row r="71" spans="1:9" x14ac:dyDescent="0.25">
      <c r="A71" s="2" t="s">
        <v>482</v>
      </c>
      <c r="B71" s="8" t="s">
        <v>488</v>
      </c>
      <c r="C71" s="8">
        <v>528</v>
      </c>
      <c r="D71" s="2" t="s">
        <v>7</v>
      </c>
      <c r="E71" s="2" t="s">
        <v>19</v>
      </c>
      <c r="G71" s="2" t="s">
        <v>15</v>
      </c>
      <c r="H71" s="2" t="s">
        <v>20</v>
      </c>
    </row>
    <row r="72" spans="1:9" x14ac:dyDescent="0.25">
      <c r="A72" s="2" t="s">
        <v>470</v>
      </c>
      <c r="B72" s="8" t="s">
        <v>474</v>
      </c>
      <c r="C72" s="8">
        <v>27</v>
      </c>
      <c r="D72" s="2" t="s">
        <v>7</v>
      </c>
      <c r="E72" s="2" t="s">
        <v>19</v>
      </c>
      <c r="G72" s="2" t="s">
        <v>15</v>
      </c>
      <c r="H72" s="2" t="s">
        <v>20</v>
      </c>
    </row>
    <row r="73" spans="1:9" x14ac:dyDescent="0.25">
      <c r="A73" s="2" t="s">
        <v>483</v>
      </c>
      <c r="B73" s="8" t="s">
        <v>489</v>
      </c>
      <c r="C73" s="8">
        <v>100</v>
      </c>
      <c r="D73" s="2" t="s">
        <v>7</v>
      </c>
      <c r="E73" s="2" t="s">
        <v>19</v>
      </c>
      <c r="G73" s="2" t="s">
        <v>15</v>
      </c>
      <c r="H73" s="2" t="s">
        <v>20</v>
      </c>
    </row>
    <row r="74" spans="1:9" x14ac:dyDescent="0.25">
      <c r="A74" s="2" t="s">
        <v>469</v>
      </c>
      <c r="B74" s="8" t="s">
        <v>473</v>
      </c>
      <c r="C74" s="8">
        <v>4.5</v>
      </c>
      <c r="D74" s="2" t="s">
        <v>7</v>
      </c>
      <c r="E74" s="2" t="s">
        <v>19</v>
      </c>
      <c r="G74" s="2" t="s">
        <v>15</v>
      </c>
      <c r="H74" s="2" t="s">
        <v>20</v>
      </c>
    </row>
    <row r="75" spans="1:9" x14ac:dyDescent="0.25">
      <c r="A75" s="2" t="s">
        <v>484</v>
      </c>
      <c r="B75" s="8" t="s">
        <v>490</v>
      </c>
      <c r="C75" s="8">
        <v>9</v>
      </c>
      <c r="D75" s="2" t="s">
        <v>7</v>
      </c>
      <c r="E75" s="2" t="s">
        <v>19</v>
      </c>
      <c r="G75" s="2" t="s">
        <v>15</v>
      </c>
      <c r="H75" s="2" t="s">
        <v>20</v>
      </c>
    </row>
    <row r="76" spans="1:9" x14ac:dyDescent="0.25">
      <c r="A76" s="2" t="s">
        <v>485</v>
      </c>
      <c r="B76" s="8" t="s">
        <v>491</v>
      </c>
      <c r="C76" s="8">
        <v>13.2038834951456</v>
      </c>
      <c r="D76" s="2" t="s">
        <v>7</v>
      </c>
      <c r="E76" s="2" t="s">
        <v>19</v>
      </c>
      <c r="G76" s="2" t="s">
        <v>15</v>
      </c>
      <c r="H76" s="2" t="s">
        <v>20</v>
      </c>
    </row>
    <row r="77" spans="1:9" x14ac:dyDescent="0.25">
      <c r="A77" s="2" t="s">
        <v>486</v>
      </c>
      <c r="B77" s="8" t="s">
        <v>492</v>
      </c>
      <c r="C77" s="8">
        <v>2.7961165048543601</v>
      </c>
      <c r="D77" s="2" t="s">
        <v>7</v>
      </c>
      <c r="E77" s="2" t="s">
        <v>19</v>
      </c>
      <c r="G77" s="2" t="s">
        <v>48</v>
      </c>
      <c r="H77" s="2" t="s">
        <v>20</v>
      </c>
    </row>
    <row r="78" spans="1:9" x14ac:dyDescent="0.25">
      <c r="A78" s="2" t="s">
        <v>487</v>
      </c>
      <c r="B78" s="8" t="s">
        <v>493</v>
      </c>
      <c r="C78" s="8">
        <v>7.4999999999999997E-2</v>
      </c>
      <c r="D78" s="2" t="s">
        <v>7</v>
      </c>
      <c r="E78" s="2" t="s">
        <v>19</v>
      </c>
      <c r="G78" s="2" t="s">
        <v>15</v>
      </c>
      <c r="H78" s="2" t="s">
        <v>20</v>
      </c>
    </row>
    <row r="79" spans="1:9" x14ac:dyDescent="0.25">
      <c r="A79" s="8" t="s">
        <v>523</v>
      </c>
      <c r="B79" s="8"/>
      <c r="C79" s="2">
        <v>0.75</v>
      </c>
      <c r="D79" s="8" t="s">
        <v>7</v>
      </c>
      <c r="E79" s="7" t="s">
        <v>16</v>
      </c>
      <c r="F79" s="2" t="s">
        <v>494</v>
      </c>
      <c r="H79" s="2" t="s">
        <v>17</v>
      </c>
    </row>
    <row r="80" spans="1:9" s="6" customFormat="1" x14ac:dyDescent="0.25">
      <c r="C80" s="11"/>
    </row>
    <row r="81" spans="1:9" x14ac:dyDescent="0.25">
      <c r="A81" s="4" t="s">
        <v>1</v>
      </c>
      <c r="B81" s="4" t="s">
        <v>309</v>
      </c>
      <c r="C81" s="7"/>
    </row>
    <row r="82" spans="1:9" x14ac:dyDescent="0.25">
      <c r="A82" s="4" t="s">
        <v>2</v>
      </c>
      <c r="B82" s="2" t="s">
        <v>312</v>
      </c>
      <c r="C82" s="7"/>
    </row>
    <row r="83" spans="1:9" x14ac:dyDescent="0.25">
      <c r="A83" s="4" t="s">
        <v>3</v>
      </c>
      <c r="B83" s="2" t="s">
        <v>33</v>
      </c>
      <c r="C83" s="7"/>
    </row>
    <row r="84" spans="1:9" x14ac:dyDescent="0.25">
      <c r="A84" s="10" t="s">
        <v>10</v>
      </c>
      <c r="B84" s="2" t="s">
        <v>310</v>
      </c>
      <c r="C84" s="7"/>
    </row>
    <row r="85" spans="1:9" x14ac:dyDescent="0.25">
      <c r="A85" s="4" t="s">
        <v>4</v>
      </c>
      <c r="B85" s="8">
        <v>1</v>
      </c>
      <c r="C85" s="7"/>
      <c r="D85" s="5"/>
    </row>
    <row r="86" spans="1:9" x14ac:dyDescent="0.25">
      <c r="A86" s="4" t="s">
        <v>6</v>
      </c>
      <c r="B86" s="2" t="s">
        <v>7</v>
      </c>
      <c r="C86" s="7"/>
      <c r="D86" s="5"/>
    </row>
    <row r="87" spans="1:9" x14ac:dyDescent="0.25">
      <c r="A87" s="4" t="s">
        <v>18</v>
      </c>
      <c r="B87" s="2" t="s">
        <v>311</v>
      </c>
      <c r="C87" s="7"/>
      <c r="D87" s="5"/>
    </row>
    <row r="88" spans="1:9" x14ac:dyDescent="0.25">
      <c r="A88" s="4" t="s">
        <v>8</v>
      </c>
      <c r="C88" s="7"/>
    </row>
    <row r="89" spans="1:9" x14ac:dyDescent="0.25">
      <c r="A89" s="4" t="s">
        <v>9</v>
      </c>
      <c r="B89" s="4" t="s">
        <v>10</v>
      </c>
      <c r="C89" s="9" t="s">
        <v>11</v>
      </c>
      <c r="D89" s="4" t="s">
        <v>6</v>
      </c>
      <c r="E89" s="4" t="s">
        <v>12</v>
      </c>
      <c r="F89" s="4" t="s">
        <v>13</v>
      </c>
      <c r="G89" s="4" t="s">
        <v>3</v>
      </c>
      <c r="H89" s="4" t="s">
        <v>5</v>
      </c>
      <c r="I89" s="4" t="s">
        <v>2</v>
      </c>
    </row>
    <row r="90" spans="1:9" x14ac:dyDescent="0.25">
      <c r="A90" s="2" t="s">
        <v>309</v>
      </c>
      <c r="B90" s="8" t="s">
        <v>310</v>
      </c>
      <c r="C90" s="16">
        <v>1</v>
      </c>
      <c r="D90" s="2" t="s">
        <v>7</v>
      </c>
      <c r="E90" s="1" t="s">
        <v>518</v>
      </c>
      <c r="G90" s="2" t="s">
        <v>33</v>
      </c>
      <c r="H90" s="2" t="s">
        <v>14</v>
      </c>
    </row>
    <row r="91" spans="1:9" x14ac:dyDescent="0.25">
      <c r="A91" s="2" t="s">
        <v>313</v>
      </c>
      <c r="B91" s="8" t="s">
        <v>314</v>
      </c>
      <c r="C91" s="136" t="s">
        <v>574</v>
      </c>
      <c r="D91" s="2" t="s">
        <v>6</v>
      </c>
      <c r="E91" s="2" t="s">
        <v>19</v>
      </c>
      <c r="G91" s="2" t="s">
        <v>33</v>
      </c>
      <c r="H91" s="2" t="s">
        <v>20</v>
      </c>
      <c r="I91" s="19" t="s">
        <v>575</v>
      </c>
    </row>
    <row r="92" spans="1:9" x14ac:dyDescent="0.25">
      <c r="A92" s="8" t="s">
        <v>180</v>
      </c>
      <c r="C92" s="7">
        <v>4.0000000000000001E-3</v>
      </c>
      <c r="D92" s="2" t="s">
        <v>23</v>
      </c>
      <c r="E92" s="7" t="s">
        <v>16</v>
      </c>
      <c r="F92" s="2" t="s">
        <v>181</v>
      </c>
      <c r="H92" s="2" t="s">
        <v>17</v>
      </c>
      <c r="I92" s="19"/>
    </row>
    <row r="93" spans="1:9" x14ac:dyDescent="0.25">
      <c r="A93" s="2" t="s">
        <v>183</v>
      </c>
      <c r="C93" s="7">
        <f>2.45/997</f>
        <v>2.4573721163490474E-3</v>
      </c>
      <c r="D93" s="2" t="s">
        <v>23</v>
      </c>
      <c r="E93" s="2" t="s">
        <v>16</v>
      </c>
      <c r="F93" s="2" t="s">
        <v>182</v>
      </c>
      <c r="H93" s="2" t="s">
        <v>17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8674D-F65B-4AC9-A9F0-229D8149024B}">
  <dimension ref="A1:K118"/>
  <sheetViews>
    <sheetView topLeftCell="A76" zoomScale="85" zoomScaleNormal="85" workbookViewId="0">
      <selection activeCell="E35" sqref="E35"/>
    </sheetView>
  </sheetViews>
  <sheetFormatPr defaultRowHeight="15" x14ac:dyDescent="0.25"/>
  <cols>
    <col min="1" max="1" width="63.85546875" customWidth="1"/>
    <col min="2" max="2" width="30.7109375" customWidth="1"/>
    <col min="3" max="3" width="9.140625" style="34"/>
    <col min="4" max="4" width="13.5703125" bestFit="1" customWidth="1"/>
    <col min="5" max="5" width="20.28515625" bestFit="1" customWidth="1"/>
    <col min="6" max="6" width="10.140625" bestFit="1" customWidth="1"/>
    <col min="8" max="8" width="13.85546875" bestFit="1" customWidth="1"/>
  </cols>
  <sheetData>
    <row r="1" spans="1:11" s="2" customFormat="1" x14ac:dyDescent="0.25">
      <c r="A1" s="4" t="s">
        <v>1</v>
      </c>
      <c r="B1" s="4" t="s">
        <v>465</v>
      </c>
      <c r="C1" s="7"/>
    </row>
    <row r="2" spans="1:11" s="2" customFormat="1" x14ac:dyDescent="0.25">
      <c r="A2" s="4" t="s">
        <v>2</v>
      </c>
      <c r="B2" s="2" t="s">
        <v>496</v>
      </c>
      <c r="C2" s="7"/>
    </row>
    <row r="3" spans="1:11" s="2" customFormat="1" x14ac:dyDescent="0.25">
      <c r="A3" s="4" t="s">
        <v>3</v>
      </c>
      <c r="B3" s="2" t="s">
        <v>33</v>
      </c>
      <c r="C3" s="7"/>
    </row>
    <row r="4" spans="1:11" s="2" customFormat="1" x14ac:dyDescent="0.25">
      <c r="A4" s="10" t="s">
        <v>10</v>
      </c>
      <c r="B4" s="1" t="s">
        <v>465</v>
      </c>
      <c r="C4" s="7"/>
    </row>
    <row r="5" spans="1:11" s="2" customFormat="1" x14ac:dyDescent="0.25">
      <c r="A5" s="4" t="s">
        <v>4</v>
      </c>
      <c r="B5" s="8">
        <v>1</v>
      </c>
      <c r="C5" s="7"/>
      <c r="D5" s="5"/>
    </row>
    <row r="6" spans="1:11" s="2" customFormat="1" x14ac:dyDescent="0.25">
      <c r="A6" s="4" t="s">
        <v>6</v>
      </c>
      <c r="B6" s="2" t="s">
        <v>7</v>
      </c>
      <c r="C6" s="7"/>
      <c r="D6" s="5"/>
    </row>
    <row r="7" spans="1:11" s="2" customFormat="1" x14ac:dyDescent="0.25">
      <c r="A7" s="4" t="s">
        <v>18</v>
      </c>
      <c r="B7" s="2" t="s">
        <v>464</v>
      </c>
      <c r="C7" s="7"/>
      <c r="D7" s="5"/>
    </row>
    <row r="8" spans="1:11" s="2" customFormat="1" x14ac:dyDescent="0.25">
      <c r="A8" s="4" t="s">
        <v>8</v>
      </c>
      <c r="C8" s="7"/>
    </row>
    <row r="9" spans="1:11" s="2" customFormat="1" x14ac:dyDescent="0.25">
      <c r="A9" s="4" t="s">
        <v>9</v>
      </c>
      <c r="B9" s="4" t="s">
        <v>10</v>
      </c>
      <c r="C9" s="9" t="s">
        <v>11</v>
      </c>
      <c r="D9" s="4" t="s">
        <v>6</v>
      </c>
      <c r="E9" s="4" t="s">
        <v>12</v>
      </c>
      <c r="F9" s="4" t="s">
        <v>13</v>
      </c>
      <c r="G9" s="4" t="s">
        <v>3</v>
      </c>
      <c r="H9" s="4" t="s">
        <v>5</v>
      </c>
      <c r="I9" s="4" t="s">
        <v>2</v>
      </c>
    </row>
    <row r="10" spans="1:11" s="2" customFormat="1" x14ac:dyDescent="0.25">
      <c r="A10" s="1" t="s">
        <v>465</v>
      </c>
      <c r="B10" s="1" t="s">
        <v>465</v>
      </c>
      <c r="C10" s="16">
        <v>1</v>
      </c>
      <c r="D10" s="2" t="s">
        <v>7</v>
      </c>
      <c r="E10" s="1" t="s">
        <v>518</v>
      </c>
      <c r="F10" s="1"/>
      <c r="G10" s="1" t="s">
        <v>33</v>
      </c>
      <c r="H10" s="1" t="s">
        <v>14</v>
      </c>
      <c r="I10" s="1"/>
      <c r="J10" s="1"/>
      <c r="K10" s="1"/>
    </row>
    <row r="11" spans="1:11" s="2" customFormat="1" x14ac:dyDescent="0.25">
      <c r="A11" s="1" t="s">
        <v>378</v>
      </c>
      <c r="B11" s="1" t="s">
        <v>378</v>
      </c>
      <c r="C11" s="16">
        <v>1</v>
      </c>
      <c r="D11" s="2" t="s">
        <v>7</v>
      </c>
      <c r="E11" s="1" t="s">
        <v>518</v>
      </c>
      <c r="F11" s="1"/>
      <c r="G11" t="s">
        <v>33</v>
      </c>
      <c r="H11" t="s">
        <v>20</v>
      </c>
      <c r="I11" s="1" t="s">
        <v>508</v>
      </c>
      <c r="J11" s="1"/>
      <c r="K11" s="1"/>
    </row>
    <row r="12" spans="1:11" s="2" customFormat="1" x14ac:dyDescent="0.25">
      <c r="A12" s="1" t="s">
        <v>36</v>
      </c>
      <c r="B12" s="1" t="s">
        <v>34</v>
      </c>
      <c r="C12" s="45">
        <v>0.38400000000000001</v>
      </c>
      <c r="D12" t="s">
        <v>35</v>
      </c>
      <c r="E12" t="s">
        <v>19</v>
      </c>
      <c r="F12"/>
      <c r="G12" t="s">
        <v>33</v>
      </c>
      <c r="H12" t="s">
        <v>20</v>
      </c>
      <c r="I12" t="s">
        <v>379</v>
      </c>
      <c r="J12" s="1"/>
      <c r="K12" s="1"/>
    </row>
    <row r="13" spans="1:11" s="2" customFormat="1" x14ac:dyDescent="0.25">
      <c r="A13" t="s">
        <v>62</v>
      </c>
      <c r="B13" t="s">
        <v>61</v>
      </c>
      <c r="C13" s="97">
        <v>2.8400000000000002E-4</v>
      </c>
      <c r="D13" t="s">
        <v>7</v>
      </c>
      <c r="E13" t="s">
        <v>19</v>
      </c>
      <c r="F13"/>
      <c r="G13" t="s">
        <v>15</v>
      </c>
      <c r="H13" t="s">
        <v>20</v>
      </c>
      <c r="I13"/>
      <c r="J13" s="1"/>
      <c r="K13" s="1"/>
    </row>
    <row r="14" spans="1:11" s="2" customFormat="1" x14ac:dyDescent="0.25">
      <c r="A14" t="s">
        <v>454</v>
      </c>
      <c r="B14" t="s">
        <v>461</v>
      </c>
      <c r="C14" s="97">
        <v>3.0400000000000002E-4</v>
      </c>
      <c r="D14" t="s">
        <v>7</v>
      </c>
      <c r="E14" t="s">
        <v>19</v>
      </c>
      <c r="F14"/>
      <c r="G14" t="s">
        <v>15</v>
      </c>
      <c r="H14" t="s">
        <v>20</v>
      </c>
      <c r="I14"/>
      <c r="J14" s="1"/>
      <c r="K14" s="1"/>
    </row>
    <row r="15" spans="1:11" s="2" customFormat="1" x14ac:dyDescent="0.25">
      <c r="A15" t="s">
        <v>108</v>
      </c>
      <c r="B15" t="s">
        <v>109</v>
      </c>
      <c r="C15" s="97">
        <v>8.2600000000000002E-5</v>
      </c>
      <c r="D15" t="s">
        <v>7</v>
      </c>
      <c r="E15" t="s">
        <v>19</v>
      </c>
      <c r="F15"/>
      <c r="G15" t="s">
        <v>15</v>
      </c>
      <c r="H15" t="s">
        <v>20</v>
      </c>
      <c r="I15"/>
      <c r="J15" s="1"/>
      <c r="K15" s="1"/>
    </row>
    <row r="16" spans="1:11" s="2" customFormat="1" x14ac:dyDescent="0.25">
      <c r="A16" t="s">
        <v>450</v>
      </c>
      <c r="B16" t="s">
        <v>456</v>
      </c>
      <c r="C16" s="97">
        <v>8.2699999999999996E-11</v>
      </c>
      <c r="D16" t="s">
        <v>6</v>
      </c>
      <c r="E16" t="s">
        <v>19</v>
      </c>
      <c r="F16"/>
      <c r="G16" t="s">
        <v>33</v>
      </c>
      <c r="H16" t="s">
        <v>20</v>
      </c>
      <c r="I16"/>
      <c r="J16" s="1"/>
      <c r="K16" s="1"/>
    </row>
    <row r="17" spans="1:11" s="2" customFormat="1" x14ac:dyDescent="0.25">
      <c r="A17" t="s">
        <v>451</v>
      </c>
      <c r="B17" t="s">
        <v>457</v>
      </c>
      <c r="C17" s="97">
        <v>7.4400000000000002E-10</v>
      </c>
      <c r="D17" t="s">
        <v>6</v>
      </c>
      <c r="E17" t="s">
        <v>19</v>
      </c>
      <c r="F17"/>
      <c r="G17" t="s">
        <v>15</v>
      </c>
      <c r="H17" t="s">
        <v>20</v>
      </c>
      <c r="I17"/>
      <c r="J17" s="1"/>
      <c r="K17" s="1"/>
    </row>
    <row r="18" spans="1:11" s="2" customFormat="1" x14ac:dyDescent="0.25">
      <c r="A18" t="s">
        <v>381</v>
      </c>
      <c r="B18" t="s">
        <v>458</v>
      </c>
      <c r="C18" s="97">
        <v>3.3099999999999999E-10</v>
      </c>
      <c r="D18" t="s">
        <v>6</v>
      </c>
      <c r="E18" t="s">
        <v>19</v>
      </c>
      <c r="F18"/>
      <c r="G18" t="s">
        <v>15</v>
      </c>
      <c r="H18" t="s">
        <v>20</v>
      </c>
      <c r="I18"/>
      <c r="J18" s="1"/>
      <c r="K18" s="1"/>
    </row>
    <row r="19" spans="1:11" s="2" customFormat="1" x14ac:dyDescent="0.25">
      <c r="A19" t="s">
        <v>452</v>
      </c>
      <c r="B19" t="s">
        <v>459</v>
      </c>
      <c r="C19" s="97">
        <v>5.1400000000000003E-12</v>
      </c>
      <c r="D19" t="s">
        <v>6</v>
      </c>
      <c r="E19" t="s">
        <v>19</v>
      </c>
      <c r="F19"/>
      <c r="G19" t="s">
        <v>15</v>
      </c>
      <c r="H19" t="s">
        <v>20</v>
      </c>
      <c r="I19"/>
      <c r="J19" s="1"/>
      <c r="K19" s="1"/>
    </row>
    <row r="20" spans="1:11" s="2" customFormat="1" x14ac:dyDescent="0.25">
      <c r="A20" t="s">
        <v>453</v>
      </c>
      <c r="B20" t="s">
        <v>460</v>
      </c>
      <c r="C20" s="97">
        <v>5.7899999999999997E-10</v>
      </c>
      <c r="D20" t="s">
        <v>6</v>
      </c>
      <c r="E20" t="s">
        <v>19</v>
      </c>
      <c r="F20"/>
      <c r="G20" t="s">
        <v>15</v>
      </c>
      <c r="H20" t="s">
        <v>20</v>
      </c>
      <c r="I20"/>
      <c r="J20" s="1"/>
      <c r="K20" s="1"/>
    </row>
    <row r="21" spans="1:11" s="2" customFormat="1" x14ac:dyDescent="0.25">
      <c r="A21" t="s">
        <v>455</v>
      </c>
      <c r="B21" t="s">
        <v>462</v>
      </c>
      <c r="C21" s="97">
        <v>-2.2699999999999999E-4</v>
      </c>
      <c r="D21" t="s">
        <v>7</v>
      </c>
      <c r="E21" t="s">
        <v>19</v>
      </c>
      <c r="F21"/>
      <c r="G21" t="s">
        <v>56</v>
      </c>
      <c r="H21" t="s">
        <v>20</v>
      </c>
      <c r="I21"/>
      <c r="J21" s="1"/>
      <c r="K21" s="1"/>
    </row>
    <row r="22" spans="1:11" s="2" customFormat="1" x14ac:dyDescent="0.25">
      <c r="A22" s="1" t="s">
        <v>180</v>
      </c>
      <c r="B22" s="1"/>
      <c r="C22" s="7">
        <v>8.3199999999999996E-2</v>
      </c>
      <c r="D22" s="2" t="s">
        <v>23</v>
      </c>
      <c r="E22" s="1" t="s">
        <v>16</v>
      </c>
      <c r="F22" s="2" t="s">
        <v>181</v>
      </c>
      <c r="G22"/>
      <c r="H22" t="s">
        <v>17</v>
      </c>
      <c r="I22" s="1"/>
      <c r="J22" s="1"/>
      <c r="K22" s="1"/>
    </row>
    <row r="23" spans="1:11" s="2" customFormat="1" x14ac:dyDescent="0.25">
      <c r="A23" t="s">
        <v>63</v>
      </c>
      <c r="B23"/>
      <c r="C23" s="97">
        <v>1.2300000000000001E-4</v>
      </c>
      <c r="D23" t="s">
        <v>7</v>
      </c>
      <c r="E23" s="1" t="s">
        <v>16</v>
      </c>
      <c r="F23" s="8" t="s">
        <v>22</v>
      </c>
      <c r="G23"/>
      <c r="H23" t="s">
        <v>17</v>
      </c>
      <c r="I23"/>
      <c r="J23" s="1"/>
      <c r="K23" s="1"/>
    </row>
    <row r="24" spans="1:11" s="2" customFormat="1" x14ac:dyDescent="0.25">
      <c r="A24" s="1" t="s">
        <v>463</v>
      </c>
      <c r="B24" s="1"/>
      <c r="C24" s="7">
        <v>6.0000000000000002E-6</v>
      </c>
      <c r="D24" s="2" t="s">
        <v>7</v>
      </c>
      <c r="E24" s="1" t="s">
        <v>16</v>
      </c>
      <c r="F24" s="8" t="s">
        <v>22</v>
      </c>
      <c r="G24"/>
      <c r="H24" t="s">
        <v>17</v>
      </c>
      <c r="I24" s="1"/>
      <c r="J24" s="1"/>
      <c r="K24" s="1"/>
    </row>
    <row r="25" spans="1:11" s="6" customFormat="1" x14ac:dyDescent="0.25">
      <c r="C25" s="11"/>
    </row>
    <row r="26" spans="1:11" x14ac:dyDescent="0.25">
      <c r="A26" s="4" t="s">
        <v>1</v>
      </c>
      <c r="B26" s="4" t="s">
        <v>378</v>
      </c>
      <c r="C26" s="7"/>
      <c r="D26" s="2"/>
      <c r="E26" s="2"/>
      <c r="F26" s="2"/>
      <c r="G26" s="2"/>
      <c r="H26" s="2"/>
    </row>
    <row r="27" spans="1:11" x14ac:dyDescent="0.25">
      <c r="A27" s="4" t="s">
        <v>2</v>
      </c>
      <c r="B27" s="2" t="s">
        <v>386</v>
      </c>
      <c r="C27" s="7"/>
      <c r="D27" s="2"/>
      <c r="E27" s="2"/>
      <c r="F27" s="2"/>
      <c r="G27" s="2"/>
      <c r="H27" s="2"/>
    </row>
    <row r="28" spans="1:11" x14ac:dyDescent="0.25">
      <c r="A28" s="4" t="s">
        <v>3</v>
      </c>
      <c r="B28" s="2" t="s">
        <v>33</v>
      </c>
      <c r="C28" s="7"/>
      <c r="D28" s="2"/>
      <c r="E28" s="2"/>
      <c r="F28" s="2"/>
      <c r="G28" s="2"/>
      <c r="H28" s="2"/>
    </row>
    <row r="29" spans="1:11" x14ac:dyDescent="0.25">
      <c r="A29" s="10" t="s">
        <v>10</v>
      </c>
      <c r="B29" s="1" t="s">
        <v>378</v>
      </c>
      <c r="C29" s="7"/>
      <c r="D29" s="2"/>
      <c r="E29" s="2"/>
      <c r="F29" s="2"/>
      <c r="G29" s="2"/>
      <c r="H29" s="2"/>
    </row>
    <row r="30" spans="1:11" x14ac:dyDescent="0.25">
      <c r="A30" s="4" t="s">
        <v>4</v>
      </c>
      <c r="B30" s="8">
        <v>1</v>
      </c>
      <c r="C30" s="7"/>
      <c r="D30" s="5"/>
      <c r="E30" s="2"/>
      <c r="F30" s="2"/>
      <c r="G30" s="2"/>
      <c r="H30" s="2"/>
    </row>
    <row r="31" spans="1:11" x14ac:dyDescent="0.25">
      <c r="A31" s="4" t="s">
        <v>6</v>
      </c>
      <c r="B31" s="2" t="s">
        <v>7</v>
      </c>
      <c r="C31" s="7"/>
      <c r="D31" s="5"/>
      <c r="E31" s="2"/>
      <c r="F31" s="2"/>
      <c r="G31" s="2"/>
      <c r="H31" s="2"/>
    </row>
    <row r="32" spans="1:11" x14ac:dyDescent="0.25">
      <c r="A32" s="4" t="s">
        <v>18</v>
      </c>
      <c r="B32" s="2" t="s">
        <v>447</v>
      </c>
      <c r="C32" s="7"/>
      <c r="D32" s="5"/>
      <c r="E32" s="2"/>
      <c r="F32" s="2"/>
      <c r="G32" s="2"/>
      <c r="H32" s="2"/>
    </row>
    <row r="33" spans="1:9" x14ac:dyDescent="0.25">
      <c r="A33" s="4" t="s">
        <v>8</v>
      </c>
      <c r="B33" s="2"/>
      <c r="C33" s="7"/>
      <c r="D33" s="2"/>
      <c r="E33" s="2"/>
      <c r="F33" s="2"/>
      <c r="G33" s="2"/>
      <c r="H33" s="2"/>
    </row>
    <row r="34" spans="1:9" x14ac:dyDescent="0.25">
      <c r="A34" s="4" t="s">
        <v>9</v>
      </c>
      <c r="B34" s="4" t="s">
        <v>10</v>
      </c>
      <c r="C34" s="9" t="s">
        <v>11</v>
      </c>
      <c r="D34" s="4" t="s">
        <v>6</v>
      </c>
      <c r="E34" s="4" t="s">
        <v>12</v>
      </c>
      <c r="F34" s="4" t="s">
        <v>13</v>
      </c>
      <c r="G34" s="4" t="s">
        <v>3</v>
      </c>
      <c r="H34" s="4" t="s">
        <v>5</v>
      </c>
      <c r="I34" s="4" t="s">
        <v>2</v>
      </c>
    </row>
    <row r="35" spans="1:9" x14ac:dyDescent="0.25">
      <c r="A35" s="1" t="s">
        <v>378</v>
      </c>
      <c r="B35" s="1" t="s">
        <v>378</v>
      </c>
      <c r="C35" s="16">
        <v>1</v>
      </c>
      <c r="D35" s="2" t="s">
        <v>7</v>
      </c>
      <c r="E35" s="1" t="s">
        <v>518</v>
      </c>
      <c r="F35" s="1"/>
      <c r="G35" s="1" t="s">
        <v>33</v>
      </c>
      <c r="H35" s="1" t="s">
        <v>14</v>
      </c>
    </row>
    <row r="36" spans="1:9" x14ac:dyDescent="0.25">
      <c r="A36" s="1" t="s">
        <v>36</v>
      </c>
      <c r="B36" s="1" t="s">
        <v>34</v>
      </c>
      <c r="C36" s="45">
        <v>9.4800000000000006E-3</v>
      </c>
      <c r="D36" t="s">
        <v>35</v>
      </c>
      <c r="E36" t="s">
        <v>19</v>
      </c>
      <c r="G36" t="s">
        <v>33</v>
      </c>
      <c r="H36" t="s">
        <v>20</v>
      </c>
      <c r="I36" t="s">
        <v>379</v>
      </c>
    </row>
    <row r="37" spans="1:9" x14ac:dyDescent="0.25">
      <c r="A37" t="s">
        <v>381</v>
      </c>
      <c r="B37" t="s">
        <v>382</v>
      </c>
      <c r="C37" s="34">
        <v>2.5400000000000001E-11</v>
      </c>
      <c r="D37" t="s">
        <v>6</v>
      </c>
      <c r="E37" t="s">
        <v>19</v>
      </c>
      <c r="G37" t="s">
        <v>15</v>
      </c>
      <c r="H37" t="s">
        <v>20</v>
      </c>
    </row>
    <row r="38" spans="1:9" x14ac:dyDescent="0.25">
      <c r="A38" t="s">
        <v>380</v>
      </c>
      <c r="B38" t="s">
        <v>380</v>
      </c>
      <c r="C38" s="97">
        <v>1.25334E-10</v>
      </c>
      <c r="D38" t="s">
        <v>201</v>
      </c>
      <c r="E38" s="1" t="s">
        <v>518</v>
      </c>
      <c r="G38" t="s">
        <v>33</v>
      </c>
      <c r="H38" t="s">
        <v>20</v>
      </c>
    </row>
    <row r="39" spans="1:9" x14ac:dyDescent="0.25">
      <c r="A39" t="s">
        <v>383</v>
      </c>
      <c r="B39" t="s">
        <v>383</v>
      </c>
      <c r="C39" s="34">
        <v>1.6899999999999999E-8</v>
      </c>
      <c r="D39" t="s">
        <v>384</v>
      </c>
      <c r="E39" s="1" t="s">
        <v>518</v>
      </c>
      <c r="G39" t="s">
        <v>33</v>
      </c>
      <c r="H39" t="s">
        <v>20</v>
      </c>
    </row>
    <row r="40" spans="1:9" s="6" customFormat="1" x14ac:dyDescent="0.25">
      <c r="C40" s="11"/>
    </row>
    <row r="41" spans="1:9" x14ac:dyDescent="0.25">
      <c r="A41" s="4" t="s">
        <v>1</v>
      </c>
      <c r="B41" s="4" t="s">
        <v>380</v>
      </c>
      <c r="C41" s="7"/>
      <c r="D41" s="2"/>
      <c r="E41" s="2"/>
      <c r="F41" s="2"/>
      <c r="G41" s="2"/>
      <c r="H41" s="2"/>
    </row>
    <row r="42" spans="1:9" x14ac:dyDescent="0.25">
      <c r="A42" s="4" t="s">
        <v>2</v>
      </c>
      <c r="B42" s="2" t="s">
        <v>448</v>
      </c>
      <c r="C42" s="7"/>
      <c r="D42" s="2"/>
      <c r="E42" s="2"/>
      <c r="F42" s="2"/>
      <c r="G42" s="2"/>
      <c r="H42" s="2"/>
    </row>
    <row r="43" spans="1:9" x14ac:dyDescent="0.25">
      <c r="A43" s="4" t="s">
        <v>3</v>
      </c>
      <c r="B43" s="2" t="s">
        <v>33</v>
      </c>
      <c r="C43" s="7"/>
      <c r="D43" s="2"/>
      <c r="E43" s="2"/>
      <c r="F43" s="2"/>
      <c r="G43" s="2"/>
      <c r="H43" s="2"/>
    </row>
    <row r="44" spans="1:9" x14ac:dyDescent="0.25">
      <c r="A44" s="10" t="s">
        <v>10</v>
      </c>
      <c r="B44" s="1" t="s">
        <v>380</v>
      </c>
      <c r="C44" s="7"/>
      <c r="D44" s="2"/>
      <c r="E44" s="2"/>
      <c r="F44" s="2"/>
      <c r="G44" s="2"/>
      <c r="H44" s="2"/>
    </row>
    <row r="45" spans="1:9" x14ac:dyDescent="0.25">
      <c r="A45" s="4" t="s">
        <v>4</v>
      </c>
      <c r="B45" s="8">
        <v>1</v>
      </c>
      <c r="C45" s="7"/>
      <c r="D45" s="5"/>
      <c r="E45" s="2"/>
      <c r="F45" s="2"/>
      <c r="G45" s="2"/>
      <c r="H45" s="2"/>
    </row>
    <row r="46" spans="1:9" x14ac:dyDescent="0.25">
      <c r="A46" s="4" t="s">
        <v>6</v>
      </c>
      <c r="B46" s="2" t="s">
        <v>201</v>
      </c>
      <c r="C46" s="7"/>
      <c r="D46" s="5"/>
      <c r="E46" s="2"/>
      <c r="F46" s="2"/>
      <c r="G46" s="2"/>
      <c r="H46" s="2"/>
    </row>
    <row r="47" spans="1:9" x14ac:dyDescent="0.25">
      <c r="A47" s="4" t="s">
        <v>18</v>
      </c>
      <c r="B47" s="2" t="s">
        <v>447</v>
      </c>
      <c r="C47" s="7"/>
      <c r="D47" s="5"/>
      <c r="E47" s="2"/>
      <c r="F47" s="2"/>
      <c r="G47" s="2"/>
      <c r="H47" s="2"/>
    </row>
    <row r="48" spans="1:9" x14ac:dyDescent="0.25">
      <c r="A48" s="4" t="s">
        <v>8</v>
      </c>
      <c r="B48" s="2"/>
      <c r="C48" s="7"/>
      <c r="D48" s="2"/>
      <c r="E48" s="2"/>
      <c r="F48" s="2"/>
      <c r="G48" s="2"/>
      <c r="H48" s="2"/>
    </row>
    <row r="49" spans="1:9" x14ac:dyDescent="0.25">
      <c r="A49" s="4" t="s">
        <v>9</v>
      </c>
      <c r="B49" s="4" t="s">
        <v>10</v>
      </c>
      <c r="C49" s="9" t="s">
        <v>11</v>
      </c>
      <c r="D49" s="4" t="s">
        <v>6</v>
      </c>
      <c r="E49" s="4" t="s">
        <v>12</v>
      </c>
      <c r="F49" s="4" t="s">
        <v>13</v>
      </c>
      <c r="G49" s="4" t="s">
        <v>3</v>
      </c>
      <c r="H49" s="4" t="s">
        <v>5</v>
      </c>
      <c r="I49" s="4" t="s">
        <v>2</v>
      </c>
    </row>
    <row r="50" spans="1:9" x14ac:dyDescent="0.25">
      <c r="A50" s="1" t="s">
        <v>380</v>
      </c>
      <c r="B50" s="1" t="s">
        <v>380</v>
      </c>
      <c r="C50" s="16">
        <v>1</v>
      </c>
      <c r="D50" s="2" t="s">
        <v>201</v>
      </c>
      <c r="E50" s="1" t="s">
        <v>518</v>
      </c>
      <c r="F50" s="1"/>
      <c r="G50" s="1" t="s">
        <v>33</v>
      </c>
      <c r="H50" s="1" t="s">
        <v>14</v>
      </c>
    </row>
    <row r="51" spans="1:9" x14ac:dyDescent="0.25">
      <c r="A51" t="s">
        <v>394</v>
      </c>
      <c r="B51" t="s">
        <v>394</v>
      </c>
      <c r="C51" s="34">
        <v>270000</v>
      </c>
      <c r="D51" t="s">
        <v>7</v>
      </c>
      <c r="E51" t="s">
        <v>19</v>
      </c>
      <c r="G51" t="s">
        <v>33</v>
      </c>
      <c r="H51" t="s">
        <v>20</v>
      </c>
    </row>
    <row r="52" spans="1:9" x14ac:dyDescent="0.25">
      <c r="A52" t="s">
        <v>395</v>
      </c>
      <c r="B52" t="s">
        <v>396</v>
      </c>
      <c r="C52" s="34">
        <v>4400000</v>
      </c>
      <c r="D52" t="s">
        <v>7</v>
      </c>
      <c r="E52" t="s">
        <v>19</v>
      </c>
      <c r="G52" t="s">
        <v>397</v>
      </c>
      <c r="H52" t="s">
        <v>20</v>
      </c>
    </row>
    <row r="53" spans="1:9" x14ac:dyDescent="0.25">
      <c r="A53" t="s">
        <v>398</v>
      </c>
      <c r="B53" t="s">
        <v>399</v>
      </c>
      <c r="C53" s="34">
        <v>3310000</v>
      </c>
      <c r="D53" t="s">
        <v>44</v>
      </c>
      <c r="E53" t="s">
        <v>19</v>
      </c>
      <c r="G53" t="s">
        <v>15</v>
      </c>
      <c r="H53" t="s">
        <v>20</v>
      </c>
    </row>
    <row r="54" spans="1:9" x14ac:dyDescent="0.25">
      <c r="A54" t="s">
        <v>400</v>
      </c>
      <c r="B54" t="s">
        <v>401</v>
      </c>
      <c r="C54" s="34">
        <v>270000</v>
      </c>
      <c r="D54" t="s">
        <v>7</v>
      </c>
      <c r="E54" t="s">
        <v>19</v>
      </c>
      <c r="G54" t="s">
        <v>15</v>
      </c>
      <c r="H54" t="s">
        <v>20</v>
      </c>
    </row>
    <row r="55" spans="1:9" x14ac:dyDescent="0.25">
      <c r="A55" t="s">
        <v>402</v>
      </c>
      <c r="B55" t="s">
        <v>403</v>
      </c>
      <c r="C55" s="34">
        <v>5120</v>
      </c>
      <c r="D55" t="s">
        <v>7</v>
      </c>
      <c r="E55" t="s">
        <v>19</v>
      </c>
      <c r="G55" t="s">
        <v>15</v>
      </c>
      <c r="H55" t="s">
        <v>20</v>
      </c>
    </row>
    <row r="56" spans="1:9" x14ac:dyDescent="0.25">
      <c r="A56" t="s">
        <v>404</v>
      </c>
      <c r="B56" t="s">
        <v>405</v>
      </c>
      <c r="C56" s="34">
        <v>55100</v>
      </c>
      <c r="D56" t="s">
        <v>204</v>
      </c>
      <c r="E56" t="s">
        <v>19</v>
      </c>
      <c r="G56" t="s">
        <v>56</v>
      </c>
      <c r="H56" t="s">
        <v>20</v>
      </c>
    </row>
    <row r="57" spans="1:9" x14ac:dyDescent="0.25">
      <c r="A57" t="s">
        <v>242</v>
      </c>
      <c r="B57" t="s">
        <v>406</v>
      </c>
      <c r="C57" s="34">
        <v>315000</v>
      </c>
      <c r="D57" t="s">
        <v>204</v>
      </c>
      <c r="E57" t="s">
        <v>19</v>
      </c>
      <c r="G57" t="s">
        <v>33</v>
      </c>
      <c r="H57" t="s">
        <v>20</v>
      </c>
    </row>
    <row r="58" spans="1:9" x14ac:dyDescent="0.25">
      <c r="A58" t="s">
        <v>407</v>
      </c>
      <c r="B58" t="s">
        <v>407</v>
      </c>
      <c r="C58" s="34">
        <v>26</v>
      </c>
      <c r="D58" t="s">
        <v>408</v>
      </c>
      <c r="E58" t="s">
        <v>19</v>
      </c>
      <c r="G58" t="s">
        <v>15</v>
      </c>
      <c r="H58" t="s">
        <v>20</v>
      </c>
    </row>
    <row r="59" spans="1:9" x14ac:dyDescent="0.25">
      <c r="A59" t="s">
        <v>409</v>
      </c>
      <c r="B59" t="s">
        <v>409</v>
      </c>
      <c r="C59" s="34">
        <v>10.4</v>
      </c>
      <c r="D59" t="s">
        <v>6</v>
      </c>
      <c r="E59" t="s">
        <v>19</v>
      </c>
      <c r="G59" t="s">
        <v>15</v>
      </c>
      <c r="H59" t="s">
        <v>20</v>
      </c>
    </row>
    <row r="60" spans="1:9" x14ac:dyDescent="0.25">
      <c r="A60" t="s">
        <v>410</v>
      </c>
      <c r="B60" t="s">
        <v>411</v>
      </c>
      <c r="C60" s="34">
        <v>-4400000</v>
      </c>
      <c r="D60" t="s">
        <v>7</v>
      </c>
      <c r="E60" t="s">
        <v>19</v>
      </c>
      <c r="G60" t="s">
        <v>48</v>
      </c>
      <c r="H60" t="s">
        <v>20</v>
      </c>
    </row>
    <row r="61" spans="1:9" x14ac:dyDescent="0.25">
      <c r="A61" t="s">
        <v>412</v>
      </c>
      <c r="B61" t="s">
        <v>413</v>
      </c>
      <c r="C61" s="34">
        <v>-135000</v>
      </c>
      <c r="D61" t="s">
        <v>7</v>
      </c>
      <c r="E61" t="s">
        <v>19</v>
      </c>
      <c r="G61" t="s">
        <v>56</v>
      </c>
      <c r="H61" t="s">
        <v>20</v>
      </c>
    </row>
    <row r="62" spans="1:9" x14ac:dyDescent="0.25">
      <c r="A62" t="s">
        <v>414</v>
      </c>
      <c r="B62" t="s">
        <v>415</v>
      </c>
      <c r="C62" s="34">
        <v>-5120</v>
      </c>
      <c r="D62" t="s">
        <v>7</v>
      </c>
      <c r="E62" t="s">
        <v>19</v>
      </c>
      <c r="G62" t="s">
        <v>56</v>
      </c>
      <c r="H62" t="s">
        <v>20</v>
      </c>
    </row>
    <row r="63" spans="1:9" x14ac:dyDescent="0.25">
      <c r="A63" t="s">
        <v>387</v>
      </c>
      <c r="C63" s="34">
        <v>3330</v>
      </c>
      <c r="D63" t="s">
        <v>388</v>
      </c>
      <c r="E63" s="1" t="s">
        <v>16</v>
      </c>
      <c r="F63" t="s">
        <v>389</v>
      </c>
      <c r="H63" t="s">
        <v>17</v>
      </c>
    </row>
    <row r="64" spans="1:9" x14ac:dyDescent="0.25">
      <c r="A64" t="s">
        <v>390</v>
      </c>
      <c r="C64" s="34">
        <v>2000</v>
      </c>
      <c r="D64" t="s">
        <v>391</v>
      </c>
      <c r="E64" t="s">
        <v>16</v>
      </c>
      <c r="F64" t="s">
        <v>389</v>
      </c>
      <c r="H64" t="s">
        <v>17</v>
      </c>
    </row>
    <row r="65" spans="1:9" x14ac:dyDescent="0.25">
      <c r="A65" t="s">
        <v>392</v>
      </c>
      <c r="C65" s="34">
        <v>2000</v>
      </c>
      <c r="D65" t="s">
        <v>391</v>
      </c>
      <c r="E65" t="s">
        <v>16</v>
      </c>
      <c r="F65" t="s">
        <v>389</v>
      </c>
      <c r="H65" t="s">
        <v>17</v>
      </c>
    </row>
    <row r="66" spans="1:9" x14ac:dyDescent="0.25">
      <c r="A66" t="s">
        <v>393</v>
      </c>
      <c r="C66" s="34">
        <v>187</v>
      </c>
      <c r="D66" t="s">
        <v>23</v>
      </c>
      <c r="E66" t="s">
        <v>16</v>
      </c>
      <c r="F66" t="s">
        <v>181</v>
      </c>
      <c r="H66" t="s">
        <v>17</v>
      </c>
    </row>
    <row r="67" spans="1:9" x14ac:dyDescent="0.25">
      <c r="A67" s="6"/>
      <c r="B67" s="6"/>
      <c r="C67" s="11"/>
      <c r="D67" s="6"/>
      <c r="E67" s="6"/>
      <c r="F67" s="6"/>
      <c r="G67" s="6"/>
      <c r="H67" s="6"/>
    </row>
    <row r="68" spans="1:9" x14ac:dyDescent="0.25">
      <c r="A68" s="4" t="s">
        <v>1</v>
      </c>
      <c r="B68" s="4" t="s">
        <v>383</v>
      </c>
      <c r="C68" s="7"/>
      <c r="D68" s="2"/>
      <c r="E68" s="2"/>
      <c r="F68" s="2"/>
      <c r="G68" s="2"/>
      <c r="H68" s="2"/>
    </row>
    <row r="69" spans="1:9" x14ac:dyDescent="0.25">
      <c r="A69" s="4" t="s">
        <v>2</v>
      </c>
      <c r="B69" s="2" t="s">
        <v>449</v>
      </c>
      <c r="C69" s="7"/>
      <c r="D69" s="2"/>
      <c r="E69" s="2"/>
      <c r="F69" s="2"/>
      <c r="G69" s="2"/>
      <c r="H69" s="2"/>
    </row>
    <row r="70" spans="1:9" x14ac:dyDescent="0.25">
      <c r="A70" s="4" t="s">
        <v>3</v>
      </c>
      <c r="B70" s="2" t="s">
        <v>33</v>
      </c>
      <c r="C70" s="7"/>
      <c r="D70" s="2"/>
      <c r="E70" s="2"/>
      <c r="F70" s="2"/>
      <c r="G70" s="2"/>
      <c r="H70" s="2"/>
    </row>
    <row r="71" spans="1:9" x14ac:dyDescent="0.25">
      <c r="A71" s="10" t="s">
        <v>10</v>
      </c>
      <c r="B71" s="1" t="s">
        <v>383</v>
      </c>
      <c r="C71" s="7"/>
      <c r="D71" s="2"/>
      <c r="E71" s="2"/>
      <c r="F71" s="2"/>
      <c r="G71" s="2"/>
      <c r="H71" s="2"/>
    </row>
    <row r="72" spans="1:9" x14ac:dyDescent="0.25">
      <c r="A72" s="4" t="s">
        <v>4</v>
      </c>
      <c r="B72" s="8">
        <v>1</v>
      </c>
      <c r="C72" s="7"/>
      <c r="D72" s="5"/>
      <c r="E72" s="2"/>
      <c r="F72" s="2"/>
      <c r="G72" s="2"/>
      <c r="H72" s="2"/>
    </row>
    <row r="73" spans="1:9" x14ac:dyDescent="0.25">
      <c r="A73" s="4" t="s">
        <v>6</v>
      </c>
      <c r="B73" s="2" t="s">
        <v>384</v>
      </c>
      <c r="C73" s="7"/>
      <c r="D73" s="5"/>
      <c r="E73" s="2"/>
      <c r="F73" s="2"/>
      <c r="G73" s="2"/>
      <c r="H73" s="2"/>
    </row>
    <row r="74" spans="1:9" x14ac:dyDescent="0.25">
      <c r="A74" s="4" t="s">
        <v>18</v>
      </c>
      <c r="B74" s="2" t="s">
        <v>447</v>
      </c>
      <c r="C74" s="7"/>
      <c r="D74" s="5"/>
      <c r="E74" s="2"/>
      <c r="F74" s="2"/>
      <c r="G74" s="2"/>
      <c r="H74" s="2"/>
    </row>
    <row r="75" spans="1:9" x14ac:dyDescent="0.25">
      <c r="A75" s="4" t="s">
        <v>8</v>
      </c>
      <c r="B75" s="2"/>
      <c r="C75" s="7"/>
      <c r="D75" s="2"/>
      <c r="E75" s="2"/>
      <c r="F75" s="2"/>
      <c r="G75" s="2"/>
      <c r="H75" s="2"/>
    </row>
    <row r="76" spans="1:9" x14ac:dyDescent="0.25">
      <c r="A76" s="4" t="s">
        <v>9</v>
      </c>
      <c r="B76" s="4" t="s">
        <v>10</v>
      </c>
      <c r="C76" s="9" t="s">
        <v>11</v>
      </c>
      <c r="D76" s="4" t="s">
        <v>6</v>
      </c>
      <c r="E76" s="4" t="s">
        <v>12</v>
      </c>
      <c r="F76" s="4" t="s">
        <v>13</v>
      </c>
      <c r="G76" s="4" t="s">
        <v>3</v>
      </c>
      <c r="H76" s="4" t="s">
        <v>5</v>
      </c>
      <c r="I76" s="4" t="s">
        <v>2</v>
      </c>
    </row>
    <row r="77" spans="1:9" x14ac:dyDescent="0.25">
      <c r="A77" t="s">
        <v>383</v>
      </c>
      <c r="B77" t="s">
        <v>383</v>
      </c>
      <c r="C77" s="16">
        <v>1</v>
      </c>
      <c r="D77" s="2" t="s">
        <v>384</v>
      </c>
      <c r="E77" s="1" t="s">
        <v>518</v>
      </c>
      <c r="F77" s="1"/>
      <c r="G77" s="1" t="s">
        <v>33</v>
      </c>
      <c r="H77" s="1" t="s">
        <v>14</v>
      </c>
    </row>
    <row r="78" spans="1:9" x14ac:dyDescent="0.25">
      <c r="A78" s="2" t="s">
        <v>431</v>
      </c>
      <c r="B78" s="2" t="s">
        <v>432</v>
      </c>
      <c r="C78" s="2">
        <v>20</v>
      </c>
      <c r="D78" s="2" t="s">
        <v>7</v>
      </c>
      <c r="E78" t="s">
        <v>19</v>
      </c>
      <c r="F78" s="2"/>
      <c r="G78" s="2" t="s">
        <v>48</v>
      </c>
      <c r="H78" s="2" t="s">
        <v>20</v>
      </c>
    </row>
    <row r="79" spans="1:9" x14ac:dyDescent="0.25">
      <c r="A79" s="2" t="s">
        <v>433</v>
      </c>
      <c r="B79" s="2" t="s">
        <v>434</v>
      </c>
      <c r="C79" s="2">
        <v>270</v>
      </c>
      <c r="D79" s="2" t="s">
        <v>7</v>
      </c>
      <c r="E79" t="s">
        <v>19</v>
      </c>
      <c r="F79" s="2"/>
      <c r="G79" s="2" t="s">
        <v>33</v>
      </c>
      <c r="H79" s="2" t="s">
        <v>20</v>
      </c>
    </row>
    <row r="80" spans="1:9" x14ac:dyDescent="0.25">
      <c r="A80" s="2" t="s">
        <v>435</v>
      </c>
      <c r="B80" s="2" t="s">
        <v>436</v>
      </c>
      <c r="C80" s="2">
        <v>200</v>
      </c>
      <c r="D80" s="2" t="s">
        <v>7</v>
      </c>
      <c r="E80" t="s">
        <v>19</v>
      </c>
      <c r="F80" s="2"/>
      <c r="G80" s="2" t="s">
        <v>56</v>
      </c>
      <c r="H80" s="2" t="s">
        <v>20</v>
      </c>
    </row>
    <row r="81" spans="1:8" x14ac:dyDescent="0.25">
      <c r="A81" s="2" t="s">
        <v>437</v>
      </c>
      <c r="B81" s="2" t="s">
        <v>437</v>
      </c>
      <c r="C81" s="2">
        <v>6300</v>
      </c>
      <c r="D81" s="2" t="s">
        <v>44</v>
      </c>
      <c r="E81" t="s">
        <v>19</v>
      </c>
      <c r="F81" s="2"/>
      <c r="G81" s="2" t="s">
        <v>15</v>
      </c>
      <c r="H81" s="2" t="s">
        <v>20</v>
      </c>
    </row>
    <row r="82" spans="1:8" x14ac:dyDescent="0.25">
      <c r="A82" s="2" t="s">
        <v>438</v>
      </c>
      <c r="B82" s="2" t="s">
        <v>439</v>
      </c>
      <c r="C82" s="2">
        <v>0.2</v>
      </c>
      <c r="D82" s="2" t="s">
        <v>7</v>
      </c>
      <c r="E82" t="s">
        <v>19</v>
      </c>
      <c r="F82" s="2"/>
      <c r="G82" s="2" t="s">
        <v>33</v>
      </c>
      <c r="H82" s="2" t="s">
        <v>20</v>
      </c>
    </row>
    <row r="83" spans="1:8" x14ac:dyDescent="0.25">
      <c r="A83" s="2" t="s">
        <v>125</v>
      </c>
      <c r="B83" s="2" t="s">
        <v>124</v>
      </c>
      <c r="C83" s="2">
        <v>9.0500000000000007</v>
      </c>
      <c r="D83" s="2" t="s">
        <v>7</v>
      </c>
      <c r="E83" t="s">
        <v>19</v>
      </c>
      <c r="F83" s="2"/>
      <c r="G83" s="2" t="s">
        <v>15</v>
      </c>
      <c r="H83" s="2" t="s">
        <v>20</v>
      </c>
    </row>
    <row r="84" spans="1:8" x14ac:dyDescent="0.25">
      <c r="A84" s="2" t="s">
        <v>495</v>
      </c>
      <c r="B84" s="2" t="s">
        <v>440</v>
      </c>
      <c r="C84" s="2">
        <v>42.2</v>
      </c>
      <c r="D84" s="2" t="s">
        <v>7</v>
      </c>
      <c r="E84" t="s">
        <v>19</v>
      </c>
      <c r="F84" s="2"/>
      <c r="G84" s="2" t="s">
        <v>15</v>
      </c>
      <c r="H84" s="2" t="s">
        <v>20</v>
      </c>
    </row>
    <row r="85" spans="1:8" x14ac:dyDescent="0.25">
      <c r="A85" s="2" t="s">
        <v>40</v>
      </c>
      <c r="B85" s="2" t="s">
        <v>39</v>
      </c>
      <c r="C85" s="2">
        <v>60</v>
      </c>
      <c r="D85" s="2" t="s">
        <v>7</v>
      </c>
      <c r="E85" t="s">
        <v>19</v>
      </c>
      <c r="F85" s="2"/>
      <c r="G85" s="2" t="s">
        <v>33</v>
      </c>
      <c r="H85" s="2" t="s">
        <v>20</v>
      </c>
    </row>
    <row r="86" spans="1:8" x14ac:dyDescent="0.25">
      <c r="A86" s="2" t="s">
        <v>400</v>
      </c>
      <c r="B86" s="2" t="s">
        <v>401</v>
      </c>
      <c r="C86" s="2">
        <v>210</v>
      </c>
      <c r="D86" s="2" t="s">
        <v>7</v>
      </c>
      <c r="E86" t="s">
        <v>19</v>
      </c>
      <c r="F86" s="2"/>
      <c r="G86" s="2" t="s">
        <v>15</v>
      </c>
      <c r="H86" s="2" t="s">
        <v>20</v>
      </c>
    </row>
    <row r="87" spans="1:8" x14ac:dyDescent="0.25">
      <c r="A87" s="2" t="s">
        <v>404</v>
      </c>
      <c r="B87" s="2" t="s">
        <v>405</v>
      </c>
      <c r="C87" s="2">
        <v>487</v>
      </c>
      <c r="D87" s="2" t="s">
        <v>204</v>
      </c>
      <c r="E87" t="s">
        <v>19</v>
      </c>
      <c r="F87" s="2"/>
      <c r="G87" s="2" t="s">
        <v>56</v>
      </c>
      <c r="H87" s="2" t="s">
        <v>20</v>
      </c>
    </row>
    <row r="88" spans="1:8" x14ac:dyDescent="0.25">
      <c r="A88" s="2" t="s">
        <v>242</v>
      </c>
      <c r="B88" s="2" t="s">
        <v>406</v>
      </c>
      <c r="C88" s="2">
        <v>81.099999999999994</v>
      </c>
      <c r="D88" s="2" t="s">
        <v>204</v>
      </c>
      <c r="E88" t="s">
        <v>19</v>
      </c>
      <c r="F88" s="2"/>
      <c r="G88" s="2" t="s">
        <v>33</v>
      </c>
      <c r="H88" s="2" t="s">
        <v>20</v>
      </c>
    </row>
    <row r="89" spans="1:8" x14ac:dyDescent="0.25">
      <c r="A89" s="2" t="s">
        <v>441</v>
      </c>
      <c r="B89" s="2" t="s">
        <v>442</v>
      </c>
      <c r="C89" s="2">
        <v>-237</v>
      </c>
      <c r="D89" s="2" t="s">
        <v>7</v>
      </c>
      <c r="E89" t="s">
        <v>19</v>
      </c>
      <c r="F89" s="2"/>
      <c r="G89" s="2" t="s">
        <v>48</v>
      </c>
      <c r="H89" s="2" t="s">
        <v>20</v>
      </c>
    </row>
    <row r="90" spans="1:8" x14ac:dyDescent="0.25">
      <c r="A90" s="2" t="s">
        <v>443</v>
      </c>
      <c r="B90" s="2" t="s">
        <v>442</v>
      </c>
      <c r="C90" s="2">
        <v>-158</v>
      </c>
      <c r="D90" s="2" t="s">
        <v>7</v>
      </c>
      <c r="E90" t="s">
        <v>19</v>
      </c>
      <c r="F90" s="2"/>
      <c r="G90" s="2" t="s">
        <v>48</v>
      </c>
      <c r="H90" s="2" t="s">
        <v>20</v>
      </c>
    </row>
    <row r="91" spans="1:8" x14ac:dyDescent="0.25">
      <c r="A91" s="2" t="s">
        <v>444</v>
      </c>
      <c r="B91" s="2" t="s">
        <v>445</v>
      </c>
      <c r="C91" s="2">
        <v>-5</v>
      </c>
      <c r="D91" s="2" t="s">
        <v>7</v>
      </c>
      <c r="E91" t="s">
        <v>19</v>
      </c>
      <c r="F91" s="2"/>
      <c r="G91" s="2" t="s">
        <v>56</v>
      </c>
      <c r="H91" s="2" t="s">
        <v>20</v>
      </c>
    </row>
    <row r="92" spans="1:8" x14ac:dyDescent="0.25">
      <c r="A92" s="2" t="s">
        <v>536</v>
      </c>
      <c r="B92" s="2"/>
      <c r="C92" s="2">
        <v>4.7800000000000002E-7</v>
      </c>
      <c r="D92" s="2" t="s">
        <v>7</v>
      </c>
      <c r="E92" s="2" t="s">
        <v>16</v>
      </c>
      <c r="F92" s="2" t="s">
        <v>141</v>
      </c>
      <c r="G92" s="2"/>
      <c r="H92" s="2" t="s">
        <v>17</v>
      </c>
    </row>
    <row r="93" spans="1:8" x14ac:dyDescent="0.25">
      <c r="A93" s="2" t="s">
        <v>537</v>
      </c>
      <c r="B93" s="2"/>
      <c r="C93" s="2">
        <v>0.06</v>
      </c>
      <c r="D93" s="2" t="s">
        <v>7</v>
      </c>
      <c r="E93" s="2" t="s">
        <v>16</v>
      </c>
      <c r="F93" s="2" t="s">
        <v>141</v>
      </c>
      <c r="G93" s="2"/>
      <c r="H93" s="2" t="s">
        <v>17</v>
      </c>
    </row>
    <row r="94" spans="1:8" x14ac:dyDescent="0.25">
      <c r="A94" s="2" t="s">
        <v>524</v>
      </c>
      <c r="B94" s="2"/>
      <c r="C94" s="2">
        <v>4.2000000000000002E-4</v>
      </c>
      <c r="D94" s="2" t="s">
        <v>7</v>
      </c>
      <c r="E94" s="2" t="s">
        <v>16</v>
      </c>
      <c r="F94" s="2" t="s">
        <v>141</v>
      </c>
      <c r="G94" s="2"/>
      <c r="H94" s="2" t="s">
        <v>17</v>
      </c>
    </row>
    <row r="95" spans="1:8" x14ac:dyDescent="0.25">
      <c r="A95" s="2" t="s">
        <v>416</v>
      </c>
      <c r="B95" s="2"/>
      <c r="C95" s="2">
        <v>0.3</v>
      </c>
      <c r="D95" s="2" t="s">
        <v>7</v>
      </c>
      <c r="E95" s="2" t="s">
        <v>16</v>
      </c>
      <c r="F95" s="2" t="s">
        <v>141</v>
      </c>
      <c r="G95" s="2"/>
      <c r="H95" s="2" t="s">
        <v>17</v>
      </c>
    </row>
    <row r="96" spans="1:8" x14ac:dyDescent="0.25">
      <c r="A96" s="2" t="s">
        <v>538</v>
      </c>
      <c r="B96" s="2"/>
      <c r="C96" s="2">
        <v>6.0000000000000001E-3</v>
      </c>
      <c r="D96" s="2" t="s">
        <v>7</v>
      </c>
      <c r="E96" s="2" t="s">
        <v>16</v>
      </c>
      <c r="F96" s="2" t="s">
        <v>141</v>
      </c>
      <c r="G96" s="2"/>
      <c r="H96" s="2" t="s">
        <v>17</v>
      </c>
    </row>
    <row r="97" spans="1:9" x14ac:dyDescent="0.25">
      <c r="A97" s="2" t="s">
        <v>417</v>
      </c>
      <c r="B97" s="2"/>
      <c r="C97" s="2">
        <v>8.9999999999999993E-3</v>
      </c>
      <c r="D97" s="2" t="s">
        <v>7</v>
      </c>
      <c r="E97" s="2" t="s">
        <v>16</v>
      </c>
      <c r="F97" s="2" t="s">
        <v>141</v>
      </c>
      <c r="G97" s="2"/>
      <c r="H97" s="2" t="s">
        <v>17</v>
      </c>
    </row>
    <row r="98" spans="1:9" x14ac:dyDescent="0.25">
      <c r="A98" s="2" t="s">
        <v>418</v>
      </c>
      <c r="B98" s="2"/>
      <c r="C98" s="2">
        <v>3</v>
      </c>
      <c r="D98" s="2" t="s">
        <v>7</v>
      </c>
      <c r="E98" s="2" t="s">
        <v>16</v>
      </c>
      <c r="F98" s="2" t="s">
        <v>141</v>
      </c>
      <c r="G98" s="2"/>
      <c r="H98" s="2" t="s">
        <v>17</v>
      </c>
    </row>
    <row r="99" spans="1:9" x14ac:dyDescent="0.25">
      <c r="A99" s="2" t="s">
        <v>525</v>
      </c>
      <c r="B99" s="2"/>
      <c r="C99" s="2">
        <v>0.6</v>
      </c>
      <c r="D99" s="2" t="s">
        <v>7</v>
      </c>
      <c r="E99" s="2" t="s">
        <v>16</v>
      </c>
      <c r="F99" s="2" t="s">
        <v>141</v>
      </c>
      <c r="G99" s="2"/>
      <c r="H99" s="2" t="s">
        <v>17</v>
      </c>
    </row>
    <row r="100" spans="1:9" x14ac:dyDescent="0.25">
      <c r="A100" s="2" t="s">
        <v>419</v>
      </c>
      <c r="B100" s="2"/>
      <c r="C100" s="2">
        <v>6</v>
      </c>
      <c r="D100" s="2" t="s">
        <v>7</v>
      </c>
      <c r="E100" s="2" t="s">
        <v>16</v>
      </c>
      <c r="F100" s="2" t="s">
        <v>141</v>
      </c>
      <c r="G100" s="2"/>
      <c r="H100" s="2" t="s">
        <v>17</v>
      </c>
    </row>
    <row r="101" spans="1:9" x14ac:dyDescent="0.25">
      <c r="A101" s="2" t="s">
        <v>526</v>
      </c>
      <c r="B101" s="2"/>
      <c r="C101" s="2">
        <v>5.9999999999999995E-4</v>
      </c>
      <c r="D101" s="2" t="s">
        <v>7</v>
      </c>
      <c r="E101" s="2" t="s">
        <v>16</v>
      </c>
      <c r="F101" s="2" t="s">
        <v>141</v>
      </c>
      <c r="G101" s="2"/>
      <c r="H101" s="2" t="s">
        <v>17</v>
      </c>
      <c r="I101" s="2" t="s">
        <v>527</v>
      </c>
    </row>
    <row r="102" spans="1:9" x14ac:dyDescent="0.25">
      <c r="A102" s="2" t="s">
        <v>420</v>
      </c>
      <c r="B102" s="2"/>
      <c r="C102" s="2">
        <v>0.3</v>
      </c>
      <c r="D102" s="2" t="s">
        <v>7</v>
      </c>
      <c r="E102" s="2" t="s">
        <v>16</v>
      </c>
      <c r="F102" s="2" t="s">
        <v>141</v>
      </c>
      <c r="G102" s="2"/>
      <c r="H102" s="2" t="s">
        <v>17</v>
      </c>
    </row>
    <row r="103" spans="1:9" x14ac:dyDescent="0.25">
      <c r="A103" s="2" t="s">
        <v>421</v>
      </c>
      <c r="B103" s="2"/>
      <c r="C103" s="2">
        <v>3.0000000000000001E-3</v>
      </c>
      <c r="D103" s="2" t="s">
        <v>7</v>
      </c>
      <c r="E103" s="2" t="s">
        <v>16</v>
      </c>
      <c r="F103" s="2" t="s">
        <v>141</v>
      </c>
      <c r="G103" s="2"/>
      <c r="H103" s="2" t="s">
        <v>17</v>
      </c>
    </row>
    <row r="104" spans="1:9" x14ac:dyDescent="0.25">
      <c r="A104" s="2" t="s">
        <v>422</v>
      </c>
      <c r="B104" s="2"/>
      <c r="C104" s="2">
        <v>3.0000000000000001E-3</v>
      </c>
      <c r="D104" s="2" t="s">
        <v>7</v>
      </c>
      <c r="E104" s="2" t="s">
        <v>16</v>
      </c>
      <c r="F104" s="2" t="s">
        <v>141</v>
      </c>
      <c r="G104" s="2"/>
      <c r="H104" s="2" t="s">
        <v>17</v>
      </c>
    </row>
    <row r="105" spans="1:9" x14ac:dyDescent="0.25">
      <c r="A105" s="2" t="s">
        <v>528</v>
      </c>
      <c r="B105" s="2"/>
      <c r="C105" s="2">
        <v>0.18</v>
      </c>
      <c r="D105" s="2" t="s">
        <v>7</v>
      </c>
      <c r="E105" s="2" t="s">
        <v>16</v>
      </c>
      <c r="F105" s="2" t="s">
        <v>141</v>
      </c>
      <c r="G105" s="2"/>
      <c r="H105" s="2" t="s">
        <v>17</v>
      </c>
    </row>
    <row r="106" spans="1:9" x14ac:dyDescent="0.25">
      <c r="A106" s="2" t="s">
        <v>423</v>
      </c>
      <c r="B106" s="2"/>
      <c r="C106" s="2">
        <v>0.12</v>
      </c>
      <c r="D106" s="2" t="s">
        <v>7</v>
      </c>
      <c r="E106" s="2" t="s">
        <v>16</v>
      </c>
      <c r="F106" s="2" t="s">
        <v>141</v>
      </c>
      <c r="G106" s="2"/>
      <c r="H106" s="2" t="s">
        <v>17</v>
      </c>
    </row>
    <row r="107" spans="1:9" x14ac:dyDescent="0.25">
      <c r="A107" s="2" t="s">
        <v>539</v>
      </c>
      <c r="B107" s="2"/>
      <c r="C107" s="2">
        <v>3.0000000000000001E-3</v>
      </c>
      <c r="D107" s="2" t="s">
        <v>7</v>
      </c>
      <c r="E107" s="2" t="s">
        <v>16</v>
      </c>
      <c r="F107" s="2" t="s">
        <v>141</v>
      </c>
      <c r="G107" s="2"/>
      <c r="H107" s="2" t="s">
        <v>17</v>
      </c>
    </row>
    <row r="108" spans="1:9" x14ac:dyDescent="0.25">
      <c r="A108" s="2" t="s">
        <v>424</v>
      </c>
      <c r="B108" s="2"/>
      <c r="C108" s="2">
        <v>0.06</v>
      </c>
      <c r="D108" s="2" t="s">
        <v>7</v>
      </c>
      <c r="E108" s="2" t="s">
        <v>16</v>
      </c>
      <c r="F108" s="2" t="s">
        <v>141</v>
      </c>
      <c r="G108" s="2"/>
      <c r="H108" s="2" t="s">
        <v>17</v>
      </c>
    </row>
    <row r="109" spans="1:9" x14ac:dyDescent="0.25">
      <c r="A109" s="2" t="s">
        <v>529</v>
      </c>
      <c r="B109" s="2"/>
      <c r="C109" s="2">
        <v>1.4800000000000001E-2</v>
      </c>
      <c r="D109" s="2" t="s">
        <v>7</v>
      </c>
      <c r="E109" s="2" t="s">
        <v>16</v>
      </c>
      <c r="F109" s="2" t="s">
        <v>22</v>
      </c>
      <c r="G109" s="2"/>
      <c r="H109" s="2" t="s">
        <v>17</v>
      </c>
    </row>
    <row r="110" spans="1:9" x14ac:dyDescent="0.25">
      <c r="A110" s="2" t="s">
        <v>425</v>
      </c>
      <c r="B110" s="2"/>
      <c r="C110" s="2">
        <v>1.1999999999999999E-3</v>
      </c>
      <c r="D110" s="2" t="s">
        <v>7</v>
      </c>
      <c r="E110" s="2" t="s">
        <v>16</v>
      </c>
      <c r="F110" s="2" t="s">
        <v>141</v>
      </c>
      <c r="G110" s="2"/>
      <c r="H110" s="2" t="s">
        <v>17</v>
      </c>
    </row>
    <row r="111" spans="1:9" x14ac:dyDescent="0.25">
      <c r="A111" s="2" t="s">
        <v>531</v>
      </c>
      <c r="B111" s="2"/>
      <c r="C111" s="2">
        <v>0.9</v>
      </c>
      <c r="D111" s="2" t="s">
        <v>7</v>
      </c>
      <c r="E111" s="2" t="s">
        <v>16</v>
      </c>
      <c r="F111" s="2" t="s">
        <v>141</v>
      </c>
      <c r="G111" s="2"/>
      <c r="H111" s="2" t="s">
        <v>17</v>
      </c>
    </row>
    <row r="112" spans="1:9" x14ac:dyDescent="0.25">
      <c r="A112" s="2" t="s">
        <v>426</v>
      </c>
      <c r="B112" s="2"/>
      <c r="C112" s="2">
        <v>0.03</v>
      </c>
      <c r="D112" s="2" t="s">
        <v>7</v>
      </c>
      <c r="E112" s="2" t="s">
        <v>16</v>
      </c>
      <c r="F112" s="2" t="s">
        <v>141</v>
      </c>
      <c r="G112" s="2"/>
      <c r="H112" s="2" t="s">
        <v>17</v>
      </c>
    </row>
    <row r="113" spans="1:8" x14ac:dyDescent="0.25">
      <c r="A113" s="2" t="s">
        <v>532</v>
      </c>
      <c r="B113" s="2"/>
      <c r="C113" s="2">
        <v>6</v>
      </c>
      <c r="D113" s="2" t="s">
        <v>7</v>
      </c>
      <c r="E113" s="2" t="s">
        <v>16</v>
      </c>
      <c r="F113" s="2" t="s">
        <v>141</v>
      </c>
      <c r="G113" s="2"/>
      <c r="H113" s="2" t="s">
        <v>17</v>
      </c>
    </row>
    <row r="114" spans="1:8" x14ac:dyDescent="0.25">
      <c r="A114" s="2" t="s">
        <v>427</v>
      </c>
      <c r="B114" s="2"/>
      <c r="C114" s="2">
        <v>1.7999999999999999E-2</v>
      </c>
      <c r="D114" s="2" t="s">
        <v>7</v>
      </c>
      <c r="E114" s="2" t="s">
        <v>16</v>
      </c>
      <c r="F114" s="2" t="s">
        <v>141</v>
      </c>
      <c r="G114" s="2"/>
      <c r="H114" s="2" t="s">
        <v>17</v>
      </c>
    </row>
    <row r="115" spans="1:8" x14ac:dyDescent="0.25">
      <c r="A115" s="2" t="s">
        <v>428</v>
      </c>
      <c r="B115" s="2"/>
      <c r="C115" s="2">
        <v>0.12</v>
      </c>
      <c r="D115" s="2" t="s">
        <v>7</v>
      </c>
      <c r="E115" s="2" t="s">
        <v>16</v>
      </c>
      <c r="F115" s="2" t="s">
        <v>141</v>
      </c>
      <c r="G115" s="2"/>
      <c r="H115" s="2" t="s">
        <v>17</v>
      </c>
    </row>
    <row r="116" spans="1:8" x14ac:dyDescent="0.25">
      <c r="A116" s="2" t="s">
        <v>429</v>
      </c>
      <c r="B116" s="2"/>
      <c r="C116" s="2">
        <v>0.3</v>
      </c>
      <c r="D116" s="2" t="s">
        <v>7</v>
      </c>
      <c r="E116" s="2" t="s">
        <v>16</v>
      </c>
      <c r="F116" s="2" t="s">
        <v>141</v>
      </c>
      <c r="G116" s="2"/>
      <c r="H116" s="2" t="s">
        <v>17</v>
      </c>
    </row>
    <row r="117" spans="1:8" x14ac:dyDescent="0.25">
      <c r="A117" s="2" t="s">
        <v>430</v>
      </c>
      <c r="B117" s="2"/>
      <c r="C117" s="2">
        <v>3.34</v>
      </c>
      <c r="D117" s="2" t="s">
        <v>23</v>
      </c>
      <c r="E117" s="2" t="s">
        <v>16</v>
      </c>
      <c r="F117" s="2" t="s">
        <v>181</v>
      </c>
      <c r="G117" s="2"/>
      <c r="H117" s="2" t="s">
        <v>17</v>
      </c>
    </row>
    <row r="118" spans="1:8" x14ac:dyDescent="0.25">
      <c r="A118" s="2" t="s">
        <v>533</v>
      </c>
      <c r="B118" s="2"/>
      <c r="C118" s="2">
        <v>1.1999999999999999E-3</v>
      </c>
      <c r="D118" s="2" t="s">
        <v>7</v>
      </c>
      <c r="E118" s="2" t="s">
        <v>16</v>
      </c>
      <c r="F118" s="2" t="s">
        <v>141</v>
      </c>
      <c r="G118" s="2"/>
      <c r="H118" s="2" t="s">
        <v>17</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2E92-C2EE-4DD7-9580-45D7B2044A0B}">
  <dimension ref="A1:K19"/>
  <sheetViews>
    <sheetView zoomScale="85" zoomScaleNormal="85" workbookViewId="0">
      <selection activeCell="I35" sqref="I35"/>
    </sheetView>
  </sheetViews>
  <sheetFormatPr defaultRowHeight="15" x14ac:dyDescent="0.25"/>
  <cols>
    <col min="1" max="1" width="57.28515625" customWidth="1"/>
    <col min="2" max="2" width="45.5703125" customWidth="1"/>
    <col min="3" max="3" width="12.28515625" bestFit="1" customWidth="1"/>
    <col min="4" max="4" width="13.5703125" bestFit="1" customWidth="1"/>
    <col min="5" max="5" width="20.28515625" bestFit="1" customWidth="1"/>
    <col min="6" max="6" width="22.7109375" bestFit="1" customWidth="1"/>
    <col min="7" max="7" width="8.140625" bestFit="1" customWidth="1"/>
    <col min="8" max="8" width="13.85546875" bestFit="1" customWidth="1"/>
  </cols>
  <sheetData>
    <row r="1" spans="1:11" x14ac:dyDescent="0.25">
      <c r="A1" s="4" t="s">
        <v>1</v>
      </c>
      <c r="B1" s="4" t="s">
        <v>519</v>
      </c>
      <c r="C1" s="7"/>
      <c r="D1" s="2"/>
      <c r="E1" s="2"/>
      <c r="F1" s="2"/>
      <c r="G1" s="2"/>
      <c r="H1" s="2"/>
    </row>
    <row r="2" spans="1:11" x14ac:dyDescent="0.25">
      <c r="A2" s="4" t="s">
        <v>2</v>
      </c>
      <c r="B2" s="2" t="s">
        <v>512</v>
      </c>
      <c r="C2" s="7"/>
      <c r="D2" s="2"/>
      <c r="E2" s="2"/>
      <c r="F2" s="2"/>
      <c r="G2" s="2"/>
      <c r="H2" s="2"/>
    </row>
    <row r="3" spans="1:11" x14ac:dyDescent="0.25">
      <c r="A3" s="4" t="s">
        <v>3</v>
      </c>
      <c r="B3" s="2" t="s">
        <v>33</v>
      </c>
      <c r="C3" s="7"/>
      <c r="D3" s="2"/>
      <c r="E3" s="2"/>
      <c r="F3" s="2"/>
      <c r="G3" s="2"/>
      <c r="H3" s="2"/>
    </row>
    <row r="4" spans="1:11" x14ac:dyDescent="0.25">
      <c r="A4" s="10" t="s">
        <v>10</v>
      </c>
      <c r="B4" s="1" t="s">
        <v>519</v>
      </c>
      <c r="C4" s="7"/>
      <c r="D4" s="2"/>
      <c r="E4" s="2"/>
      <c r="F4" s="2"/>
      <c r="G4" s="2"/>
      <c r="H4" s="2"/>
    </row>
    <row r="5" spans="1:11" x14ac:dyDescent="0.25">
      <c r="A5" s="4" t="s">
        <v>4</v>
      </c>
      <c r="B5" s="8">
        <v>1</v>
      </c>
      <c r="C5" s="7"/>
      <c r="D5" s="5"/>
      <c r="E5" s="2"/>
      <c r="F5" s="2"/>
      <c r="G5" s="2"/>
      <c r="H5" s="2"/>
    </row>
    <row r="6" spans="1:11" x14ac:dyDescent="0.25">
      <c r="A6" s="4" t="s">
        <v>6</v>
      </c>
      <c r="B6" s="2" t="s">
        <v>7</v>
      </c>
      <c r="C6" s="7"/>
      <c r="D6" s="5"/>
      <c r="E6" s="2"/>
      <c r="F6" s="2"/>
      <c r="G6" s="2"/>
      <c r="H6" s="2"/>
    </row>
    <row r="7" spans="1:11" x14ac:dyDescent="0.25">
      <c r="A7" s="4" t="s">
        <v>18</v>
      </c>
      <c r="B7" s="2" t="s">
        <v>497</v>
      </c>
      <c r="C7" s="7"/>
      <c r="D7" s="5"/>
      <c r="E7" s="2"/>
      <c r="F7" s="2"/>
      <c r="G7" s="2"/>
      <c r="H7" s="2"/>
    </row>
    <row r="8" spans="1:11" x14ac:dyDescent="0.25">
      <c r="A8" s="4" t="s">
        <v>8</v>
      </c>
      <c r="B8" s="2"/>
      <c r="C8" s="7"/>
      <c r="D8" s="2"/>
      <c r="E8" s="2"/>
      <c r="F8" s="2"/>
      <c r="G8" s="2"/>
      <c r="H8" s="2"/>
    </row>
    <row r="9" spans="1:11" x14ac:dyDescent="0.25">
      <c r="A9" s="4" t="s">
        <v>9</v>
      </c>
      <c r="B9" s="4" t="s">
        <v>10</v>
      </c>
      <c r="C9" s="9" t="s">
        <v>11</v>
      </c>
      <c r="D9" s="4" t="s">
        <v>6</v>
      </c>
      <c r="E9" s="4" t="s">
        <v>12</v>
      </c>
      <c r="F9" s="4" t="s">
        <v>13</v>
      </c>
      <c r="G9" s="4" t="s">
        <v>3</v>
      </c>
      <c r="H9" s="4" t="s">
        <v>5</v>
      </c>
      <c r="I9" s="4" t="s">
        <v>2</v>
      </c>
    </row>
    <row r="10" spans="1:11" s="2" customFormat="1" x14ac:dyDescent="0.25">
      <c r="A10" s="1" t="s">
        <v>519</v>
      </c>
      <c r="B10" s="2" t="s">
        <v>519</v>
      </c>
      <c r="C10" s="16">
        <v>1</v>
      </c>
      <c r="D10" s="2" t="s">
        <v>7</v>
      </c>
      <c r="E10" s="1" t="s">
        <v>518</v>
      </c>
      <c r="F10" s="1"/>
      <c r="G10" s="1" t="s">
        <v>33</v>
      </c>
      <c r="H10" s="1" t="s">
        <v>14</v>
      </c>
      <c r="J10" s="1"/>
      <c r="K10" s="1"/>
    </row>
    <row r="11" spans="1:11" s="2" customFormat="1" x14ac:dyDescent="0.25">
      <c r="A11" s="1" t="s">
        <v>378</v>
      </c>
      <c r="B11" s="1" t="s">
        <v>378</v>
      </c>
      <c r="C11" s="16">
        <v>1</v>
      </c>
      <c r="D11" s="2" t="s">
        <v>7</v>
      </c>
      <c r="E11" s="1" t="s">
        <v>518</v>
      </c>
      <c r="F11" s="1"/>
      <c r="G11" t="s">
        <v>33</v>
      </c>
      <c r="H11" t="s">
        <v>20</v>
      </c>
      <c r="I11" s="1" t="s">
        <v>508</v>
      </c>
      <c r="J11" s="1"/>
      <c r="K11" s="1"/>
    </row>
    <row r="12" spans="1:11" s="2" customFormat="1" x14ac:dyDescent="0.25">
      <c r="A12" s="1" t="s">
        <v>50</v>
      </c>
      <c r="B12" s="1" t="s">
        <v>49</v>
      </c>
      <c r="C12" s="45">
        <v>1.1319999999999999</v>
      </c>
      <c r="D12" t="s">
        <v>35</v>
      </c>
      <c r="E12" t="s">
        <v>19</v>
      </c>
      <c r="F12"/>
      <c r="G12" t="s">
        <v>33</v>
      </c>
      <c r="H12" t="s">
        <v>20</v>
      </c>
      <c r="I12" s="1" t="s">
        <v>507</v>
      </c>
      <c r="J12" s="1"/>
      <c r="K12" s="1"/>
    </row>
    <row r="13" spans="1:11" s="2" customFormat="1" x14ac:dyDescent="0.25">
      <c r="A13" s="1" t="s">
        <v>125</v>
      </c>
      <c r="B13" s="1" t="s">
        <v>124</v>
      </c>
      <c r="C13" s="45">
        <v>3.0000000000000001E-3</v>
      </c>
      <c r="D13" s="2" t="s">
        <v>7</v>
      </c>
      <c r="E13" t="s">
        <v>19</v>
      </c>
      <c r="F13"/>
      <c r="G13" t="s">
        <v>15</v>
      </c>
      <c r="H13" t="s">
        <v>20</v>
      </c>
      <c r="I13" s="1" t="s">
        <v>503</v>
      </c>
      <c r="J13" s="1"/>
      <c r="K13" s="1"/>
    </row>
    <row r="14" spans="1:11" s="2" customFormat="1" x14ac:dyDescent="0.25">
      <c r="A14" s="1" t="s">
        <v>510</v>
      </c>
      <c r="B14" s="1" t="s">
        <v>511</v>
      </c>
      <c r="C14" s="97">
        <v>8.5616438356164383E-13</v>
      </c>
      <c r="D14" s="2" t="s">
        <v>6</v>
      </c>
      <c r="E14" t="s">
        <v>19</v>
      </c>
      <c r="F14"/>
      <c r="G14" t="s">
        <v>15</v>
      </c>
      <c r="H14" t="s">
        <v>20</v>
      </c>
      <c r="I14" s="1"/>
      <c r="J14" s="1"/>
      <c r="K14" s="1"/>
    </row>
    <row r="15" spans="1:11" s="2" customFormat="1" x14ac:dyDescent="0.25">
      <c r="A15" s="1" t="s">
        <v>498</v>
      </c>
      <c r="B15" t="s">
        <v>499</v>
      </c>
      <c r="C15" s="7">
        <v>4.3524948394272153E-9</v>
      </c>
      <c r="D15" s="1" t="s">
        <v>6</v>
      </c>
      <c r="E15" t="s">
        <v>19</v>
      </c>
      <c r="F15" s="8"/>
      <c r="G15" s="2" t="s">
        <v>15</v>
      </c>
      <c r="H15" t="s">
        <v>20</v>
      </c>
      <c r="I15" s="1"/>
      <c r="J15" s="1"/>
      <c r="K15" s="1"/>
    </row>
    <row r="16" spans="1:11" s="2" customFormat="1" x14ac:dyDescent="0.25">
      <c r="A16" s="1" t="s">
        <v>381</v>
      </c>
      <c r="B16" t="s">
        <v>458</v>
      </c>
      <c r="C16" s="98">
        <v>2.536783358701167E-11</v>
      </c>
      <c r="D16" s="1" t="s">
        <v>6</v>
      </c>
      <c r="E16" t="s">
        <v>19</v>
      </c>
      <c r="G16" s="2" t="s">
        <v>15</v>
      </c>
      <c r="H16" t="s">
        <v>20</v>
      </c>
      <c r="I16" s="1"/>
      <c r="J16" s="1"/>
      <c r="K16" s="1"/>
    </row>
    <row r="17" spans="1:11" s="2" customFormat="1" x14ac:dyDescent="0.25">
      <c r="A17" s="1" t="s">
        <v>504</v>
      </c>
      <c r="B17" t="s">
        <v>505</v>
      </c>
      <c r="C17" s="45">
        <v>-3.0000000000000001E-3</v>
      </c>
      <c r="D17" s="2" t="s">
        <v>7</v>
      </c>
      <c r="E17" t="s">
        <v>19</v>
      </c>
      <c r="F17"/>
      <c r="G17" t="s">
        <v>48</v>
      </c>
      <c r="H17" t="s">
        <v>20</v>
      </c>
      <c r="I17" s="1" t="s">
        <v>506</v>
      </c>
      <c r="J17" s="1"/>
      <c r="K17" s="1"/>
    </row>
    <row r="18" spans="1:11" s="2" customFormat="1" x14ac:dyDescent="0.25">
      <c r="A18" s="7" t="s">
        <v>500</v>
      </c>
      <c r="C18" s="16">
        <v>1</v>
      </c>
      <c r="D18" s="1" t="s">
        <v>7</v>
      </c>
      <c r="E18" s="1" t="s">
        <v>16</v>
      </c>
      <c r="F18" s="2" t="s">
        <v>501</v>
      </c>
      <c r="G18"/>
      <c r="H18" s="2" t="s">
        <v>17</v>
      </c>
      <c r="I18" s="1"/>
      <c r="J18" s="1"/>
      <c r="K18" s="1"/>
    </row>
    <row r="19" spans="1:11" s="2" customFormat="1" x14ac:dyDescent="0.25">
      <c r="A19" s="1" t="s">
        <v>226</v>
      </c>
      <c r="C19" s="8">
        <v>2.1000000000000001E-2</v>
      </c>
      <c r="D19" s="1" t="s">
        <v>7</v>
      </c>
      <c r="E19" s="1" t="s">
        <v>16</v>
      </c>
      <c r="F19" s="8" t="s">
        <v>502</v>
      </c>
      <c r="G19"/>
      <c r="H19" s="2" t="s">
        <v>17</v>
      </c>
      <c r="I19" s="1" t="s">
        <v>509</v>
      </c>
      <c r="J19" s="1"/>
      <c r="K1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17B1D-8865-45AC-8D14-60DF88C57369}">
  <dimension ref="A1:N104"/>
  <sheetViews>
    <sheetView topLeftCell="A19" zoomScale="85" zoomScaleNormal="85" workbookViewId="0">
      <selection activeCell="E61" sqref="E61"/>
    </sheetView>
  </sheetViews>
  <sheetFormatPr defaultRowHeight="15" x14ac:dyDescent="0.25"/>
  <cols>
    <col min="1" max="1" width="59.140625" bestFit="1" customWidth="1"/>
    <col min="2" max="7" width="12.5703125" customWidth="1"/>
    <col min="8" max="8" width="10.85546875" customWidth="1"/>
    <col min="9" max="9" width="12.7109375" customWidth="1"/>
    <col min="10" max="10" width="16.5703125" customWidth="1"/>
    <col min="11" max="11" width="14.5703125" bestFit="1" customWidth="1"/>
    <col min="12" max="12" width="14.5703125" customWidth="1"/>
    <col min="13" max="14" width="21.28515625" bestFit="1" customWidth="1"/>
  </cols>
  <sheetData>
    <row r="1" spans="1:11" x14ac:dyDescent="0.25">
      <c r="A1" t="s">
        <v>57</v>
      </c>
    </row>
    <row r="2" spans="1:11" ht="26.25" x14ac:dyDescent="0.4">
      <c r="A2" s="100" t="s">
        <v>549</v>
      </c>
    </row>
    <row r="4" spans="1:11" x14ac:dyDescent="0.25">
      <c r="B4" s="69" t="s">
        <v>210</v>
      </c>
      <c r="C4" s="70" t="s">
        <v>103</v>
      </c>
      <c r="K4" s="10"/>
    </row>
    <row r="5" spans="1:11" ht="18.75" x14ac:dyDescent="0.3">
      <c r="A5" s="43" t="s">
        <v>92</v>
      </c>
    </row>
    <row r="6" spans="1:11" ht="30" x14ac:dyDescent="0.25">
      <c r="A6" s="52"/>
      <c r="B6" s="67" t="s">
        <v>91</v>
      </c>
      <c r="C6" s="71" t="s">
        <v>67</v>
      </c>
      <c r="D6" s="67" t="s">
        <v>68</v>
      </c>
      <c r="E6" s="71" t="s">
        <v>81</v>
      </c>
      <c r="F6" s="71" t="s">
        <v>69</v>
      </c>
      <c r="G6" s="71" t="s">
        <v>93</v>
      </c>
      <c r="I6" s="82" t="s">
        <v>540</v>
      </c>
    </row>
    <row r="7" spans="1:11" x14ac:dyDescent="0.25">
      <c r="A7" s="52"/>
      <c r="B7" s="121" t="s">
        <v>264</v>
      </c>
      <c r="C7" s="121"/>
      <c r="D7" s="121"/>
      <c r="E7" s="121"/>
      <c r="F7" s="121"/>
      <c r="G7" s="121"/>
      <c r="I7" s="72"/>
    </row>
    <row r="8" spans="1:11" x14ac:dyDescent="0.25">
      <c r="A8" s="29" t="s">
        <v>266</v>
      </c>
      <c r="B8" s="79">
        <v>0.34</v>
      </c>
      <c r="C8" s="80">
        <v>0.85</v>
      </c>
      <c r="D8" s="65" t="s">
        <v>195</v>
      </c>
      <c r="E8" s="65" t="s">
        <v>195</v>
      </c>
      <c r="F8" s="65" t="s">
        <v>195</v>
      </c>
      <c r="G8" s="80">
        <v>0.74</v>
      </c>
      <c r="I8" s="72" t="s">
        <v>265</v>
      </c>
    </row>
    <row r="9" spans="1:11" x14ac:dyDescent="0.25">
      <c r="A9" s="29" t="s">
        <v>267</v>
      </c>
      <c r="B9" s="79">
        <v>0.93</v>
      </c>
      <c r="C9" s="79">
        <v>0.82</v>
      </c>
      <c r="D9" s="65" t="s">
        <v>195</v>
      </c>
      <c r="E9" s="65" t="s">
        <v>195</v>
      </c>
      <c r="F9" s="65" t="s">
        <v>195</v>
      </c>
      <c r="G9" s="79">
        <v>0.9</v>
      </c>
      <c r="I9" s="72" t="s">
        <v>265</v>
      </c>
    </row>
    <row r="10" spans="1:11" ht="18.75" x14ac:dyDescent="0.35">
      <c r="A10" s="29" t="s">
        <v>268</v>
      </c>
      <c r="B10" s="81">
        <v>435.18</v>
      </c>
      <c r="C10" s="76">
        <v>319</v>
      </c>
      <c r="D10" s="65" t="s">
        <v>195</v>
      </c>
      <c r="E10" s="65" t="s">
        <v>195</v>
      </c>
      <c r="F10" s="65" t="s">
        <v>195</v>
      </c>
      <c r="G10" s="76">
        <v>440.12</v>
      </c>
      <c r="I10" s="72" t="s">
        <v>273</v>
      </c>
    </row>
    <row r="11" spans="1:11" x14ac:dyDescent="0.25">
      <c r="A11" s="29" t="s">
        <v>269</v>
      </c>
      <c r="B11" s="79">
        <v>0.7</v>
      </c>
      <c r="C11" s="79">
        <v>0.7</v>
      </c>
      <c r="D11" s="65" t="s">
        <v>195</v>
      </c>
      <c r="E11" s="65" t="s">
        <v>195</v>
      </c>
      <c r="F11" s="65" t="s">
        <v>195</v>
      </c>
      <c r="G11" s="79">
        <v>0.7</v>
      </c>
      <c r="I11" s="72" t="s">
        <v>542</v>
      </c>
    </row>
    <row r="12" spans="1:11" x14ac:dyDescent="0.25">
      <c r="B12" s="121" t="s">
        <v>208</v>
      </c>
      <c r="C12" s="121"/>
      <c r="D12" s="121"/>
      <c r="E12" s="121"/>
      <c r="F12" s="121"/>
      <c r="G12" s="121"/>
    </row>
    <row r="13" spans="1:11" ht="18" x14ac:dyDescent="0.35">
      <c r="A13" s="29" t="s">
        <v>190</v>
      </c>
      <c r="B13" s="61">
        <v>0.56999999999999995</v>
      </c>
      <c r="C13" s="61">
        <v>0.56999999999999995</v>
      </c>
      <c r="D13" s="61">
        <v>0.56999999999999995</v>
      </c>
      <c r="E13" s="61">
        <v>0.56999999999999995</v>
      </c>
      <c r="F13" s="61">
        <v>0.56999999999999995</v>
      </c>
      <c r="G13" s="61">
        <v>0.56999999999999995</v>
      </c>
      <c r="I13" s="59" t="s">
        <v>543</v>
      </c>
    </row>
    <row r="14" spans="1:11" ht="18" x14ac:dyDescent="0.35">
      <c r="A14" s="29" t="s">
        <v>191</v>
      </c>
      <c r="B14" s="61">
        <f>1-B13</f>
        <v>0.43000000000000005</v>
      </c>
      <c r="C14" s="61">
        <f>1-C13</f>
        <v>0.43000000000000005</v>
      </c>
      <c r="D14" s="61">
        <f t="shared" ref="D14" si="0">1-D13</f>
        <v>0.43000000000000005</v>
      </c>
      <c r="E14" s="61">
        <f t="shared" ref="E14" si="1">1-E13</f>
        <v>0.43000000000000005</v>
      </c>
      <c r="F14" s="61">
        <f>1-F13</f>
        <v>0.43000000000000005</v>
      </c>
      <c r="G14" s="61">
        <f>1-G13</f>
        <v>0.43000000000000005</v>
      </c>
    </row>
    <row r="15" spans="1:11" ht="17.25" x14ac:dyDescent="0.25">
      <c r="A15" s="29" t="s">
        <v>271</v>
      </c>
      <c r="B15" s="83">
        <f>(1-B8)*B9*B10*B11*(1/1000)*(1/B13)</f>
        <v>0.32803410315789477</v>
      </c>
      <c r="C15" s="83">
        <f>(1-C8)*C9*C10*C11*(1/1000)*(1/C13)</f>
        <v>4.8185789473684217E-2</v>
      </c>
      <c r="D15" s="84" t="s">
        <v>195</v>
      </c>
      <c r="E15" s="84" t="s">
        <v>195</v>
      </c>
      <c r="F15" s="84" t="s">
        <v>195</v>
      </c>
      <c r="G15" s="83">
        <f t="shared" ref="G15" si="2">(1-G8)*G9*G10*G11*(1/1000)*(1/G13)</f>
        <v>0.12647658947368423</v>
      </c>
      <c r="I15" t="s">
        <v>274</v>
      </c>
    </row>
    <row r="16" spans="1:11" ht="17.25" x14ac:dyDescent="0.25">
      <c r="A16" s="29" t="s">
        <v>207</v>
      </c>
      <c r="B16" s="62">
        <f>B13*GasesProperties!$C$4</f>
        <v>20.405999999999995</v>
      </c>
      <c r="C16" s="62">
        <f>C13*GasesProperties!$C$4</f>
        <v>20.405999999999995</v>
      </c>
      <c r="D16" s="62">
        <f>D13*GasesProperties!$C$4</f>
        <v>20.405999999999995</v>
      </c>
      <c r="E16" s="62">
        <f>E13*GasesProperties!$C$4</f>
        <v>20.405999999999995</v>
      </c>
      <c r="F16" s="62">
        <f>F13*GasesProperties!$C$4</f>
        <v>20.405999999999995</v>
      </c>
      <c r="G16" s="62">
        <f>G13*GasesProperties!$C$4</f>
        <v>20.405999999999995</v>
      </c>
      <c r="I16" s="14" t="s">
        <v>209</v>
      </c>
    </row>
    <row r="17" spans="1:14" x14ac:dyDescent="0.25">
      <c r="A17" s="29" t="s">
        <v>244</v>
      </c>
      <c r="B17" s="62">
        <f>B13*GasesProperties!$D$4</f>
        <v>28.499999999999996</v>
      </c>
      <c r="C17" s="62">
        <f>C13*GasesProperties!$D$4</f>
        <v>28.499999999999996</v>
      </c>
      <c r="D17" s="62">
        <f>D13*GasesProperties!$D$4</f>
        <v>28.499999999999996</v>
      </c>
      <c r="E17" s="62">
        <f>E13*GasesProperties!$D$4</f>
        <v>28.499999999999996</v>
      </c>
      <c r="F17" s="62">
        <f>F13*GasesProperties!$D$4</f>
        <v>28.499999999999996</v>
      </c>
      <c r="G17" s="62">
        <f>G13*GasesProperties!$D$4</f>
        <v>28.499999999999996</v>
      </c>
      <c r="I17" s="14"/>
    </row>
    <row r="18" spans="1:14" x14ac:dyDescent="0.25">
      <c r="A18" s="29"/>
      <c r="B18" s="121" t="s">
        <v>214</v>
      </c>
      <c r="C18" s="121"/>
      <c r="D18" s="121"/>
      <c r="E18" s="121"/>
      <c r="F18" s="121"/>
      <c r="G18" s="121"/>
      <c r="I18" s="10"/>
      <c r="K18" s="13"/>
      <c r="L18" s="13"/>
      <c r="M18" s="17"/>
      <c r="N18" s="18"/>
    </row>
    <row r="19" spans="1:14" x14ac:dyDescent="0.25">
      <c r="A19" s="29" t="s">
        <v>192</v>
      </c>
      <c r="B19" s="64">
        <f t="shared" ref="B19:G19" si="3">(1.02+2.18)/100</f>
        <v>3.2000000000000001E-2</v>
      </c>
      <c r="C19" s="64">
        <f t="shared" si="3"/>
        <v>3.2000000000000001E-2</v>
      </c>
      <c r="D19" s="65" t="s">
        <v>195</v>
      </c>
      <c r="E19" s="65" t="s">
        <v>195</v>
      </c>
      <c r="F19" s="65" t="s">
        <v>195</v>
      </c>
      <c r="G19" s="64">
        <f t="shared" si="3"/>
        <v>3.2000000000000001E-2</v>
      </c>
      <c r="H19" s="59"/>
      <c r="I19" s="59" t="s">
        <v>544</v>
      </c>
    </row>
    <row r="20" spans="1:14" x14ac:dyDescent="0.25">
      <c r="A20" s="29" t="s">
        <v>212</v>
      </c>
      <c r="B20" s="64">
        <f>B26*(1/B$38)*(1/B16)</f>
        <v>0.10099999999999999</v>
      </c>
      <c r="C20" s="64">
        <f>C26*(1/C$38)*(1/C16)</f>
        <v>0.10099999999999999</v>
      </c>
      <c r="D20" s="65" t="s">
        <v>195</v>
      </c>
      <c r="E20" s="65" t="s">
        <v>195</v>
      </c>
      <c r="F20" s="65" t="s">
        <v>195</v>
      </c>
      <c r="G20" s="64">
        <f>G26*(1/G$38)*(1/G16)</f>
        <v>0.10099999999999999</v>
      </c>
      <c r="I20" s="59" t="s">
        <v>324</v>
      </c>
    </row>
    <row r="21" spans="1:14" x14ac:dyDescent="0.25">
      <c r="A21" s="29" t="s">
        <v>323</v>
      </c>
      <c r="B21" s="64">
        <v>0.1</v>
      </c>
      <c r="C21" s="64">
        <v>0.1</v>
      </c>
      <c r="D21" s="65" t="s">
        <v>195</v>
      </c>
      <c r="E21" s="65" t="s">
        <v>195</v>
      </c>
      <c r="F21" s="65" t="s">
        <v>195</v>
      </c>
      <c r="G21" s="64">
        <v>0.1</v>
      </c>
      <c r="I21" s="59" t="s">
        <v>322</v>
      </c>
    </row>
    <row r="22" spans="1:14" ht="17.25" x14ac:dyDescent="0.25">
      <c r="A22" s="29" t="s">
        <v>213</v>
      </c>
      <c r="B22" s="63">
        <f>1+SUM(B19:B21)</f>
        <v>1.2330000000000001</v>
      </c>
      <c r="C22" s="63">
        <f>1+SUM(C19:C21)</f>
        <v>1.2330000000000001</v>
      </c>
      <c r="D22" s="66" t="s">
        <v>195</v>
      </c>
      <c r="E22" s="66" t="s">
        <v>195</v>
      </c>
      <c r="F22" s="66" t="s">
        <v>195</v>
      </c>
      <c r="G22" s="63">
        <f>1+SUM(G19:G21)</f>
        <v>1.2330000000000001</v>
      </c>
      <c r="H22" s="21"/>
      <c r="I22" t="s">
        <v>215</v>
      </c>
      <c r="K22" s="13"/>
      <c r="L22" s="13"/>
      <c r="M22" s="17"/>
      <c r="N22" s="18"/>
    </row>
    <row r="23" spans="1:14" x14ac:dyDescent="0.25">
      <c r="B23" s="121" t="s">
        <v>246</v>
      </c>
      <c r="C23" s="121"/>
      <c r="D23" s="121"/>
      <c r="E23" s="121"/>
      <c r="F23" s="121"/>
      <c r="G23" s="121"/>
    </row>
    <row r="24" spans="1:14" ht="17.25" x14ac:dyDescent="0.25">
      <c r="A24" s="29" t="s">
        <v>247</v>
      </c>
      <c r="B24" s="85">
        <f>B22/B15</f>
        <v>3.7587555322152353</v>
      </c>
      <c r="C24" s="86">
        <f>C22/C15</f>
        <v>25.588456959356876</v>
      </c>
      <c r="D24" s="66" t="s">
        <v>195</v>
      </c>
      <c r="E24" s="66" t="s">
        <v>195</v>
      </c>
      <c r="F24" s="66" t="s">
        <v>195</v>
      </c>
      <c r="G24" s="85">
        <f>G22/G15</f>
        <v>9.7488397270274927</v>
      </c>
      <c r="H24" s="21"/>
      <c r="I24" s="59" t="s">
        <v>248</v>
      </c>
      <c r="K24" s="13"/>
      <c r="L24" s="13"/>
      <c r="M24" s="17"/>
      <c r="N24" s="18"/>
    </row>
    <row r="25" spans="1:14" ht="17.25" x14ac:dyDescent="0.25">
      <c r="A25" s="29" t="s">
        <v>338</v>
      </c>
      <c r="B25" s="78">
        <f>0.0245*(1/3.6)*ParametersCalculation!$B$16*ParametersCalculation!$B$22</f>
        <v>0.17123184749999998</v>
      </c>
      <c r="C25" s="78">
        <f>0.0182*(1/3.6)*ParametersCalculation!$C$16*ParametersCalculation!$C$22</f>
        <v>0.127200801</v>
      </c>
      <c r="D25" s="66" t="s">
        <v>195</v>
      </c>
      <c r="E25" s="66" t="s">
        <v>195</v>
      </c>
      <c r="F25" s="66" t="s">
        <v>195</v>
      </c>
      <c r="G25" s="78">
        <f>0.0245*(1/3.6)*ParametersCalculation!$G$16*ParametersCalculation!$G$22</f>
        <v>0.17123184749999998</v>
      </c>
      <c r="H25" s="21"/>
      <c r="I25" s="59" t="s">
        <v>545</v>
      </c>
      <c r="K25" s="13"/>
      <c r="L25" s="13"/>
      <c r="M25" s="17"/>
      <c r="N25" s="18"/>
    </row>
    <row r="26" spans="1:14" ht="17.25" x14ac:dyDescent="0.25">
      <c r="A26" s="29" t="s">
        <v>339</v>
      </c>
      <c r="B26" s="78">
        <f>0.0909*ParametersCalculation!$B$16</f>
        <v>1.8549053999999994</v>
      </c>
      <c r="C26" s="78">
        <f>0.0909*ParametersCalculation!$C$16</f>
        <v>1.8549053999999994</v>
      </c>
      <c r="D26" s="66" t="s">
        <v>195</v>
      </c>
      <c r="E26" s="66" t="s">
        <v>195</v>
      </c>
      <c r="F26" s="66" t="s">
        <v>195</v>
      </c>
      <c r="G26" s="78">
        <f>0.0909*ParametersCalculation!$G$16</f>
        <v>1.8549053999999994</v>
      </c>
      <c r="H26" s="21"/>
      <c r="I26" s="59" t="s">
        <v>253</v>
      </c>
      <c r="K26" s="13"/>
      <c r="L26" s="13"/>
      <c r="M26" s="17"/>
      <c r="N26" s="18"/>
    </row>
    <row r="27" spans="1:14" ht="17.25" x14ac:dyDescent="0.25">
      <c r="A27" s="29" t="s">
        <v>331</v>
      </c>
      <c r="B27" s="89">
        <f>2.86000299914825E-07*B22</f>
        <v>3.5263836979497925E-7</v>
      </c>
      <c r="C27" s="89">
        <f>2.86000299914825E-07*C22</f>
        <v>3.5263836979497925E-7</v>
      </c>
      <c r="D27" s="66" t="s">
        <v>195</v>
      </c>
      <c r="E27" s="66" t="s">
        <v>195</v>
      </c>
      <c r="F27" s="66" t="s">
        <v>195</v>
      </c>
      <c r="G27" s="89">
        <f>2.86000299914825E-07*G22</f>
        <v>3.5263836979497925E-7</v>
      </c>
      <c r="H27" s="21"/>
      <c r="I27" s="59" t="s">
        <v>333</v>
      </c>
      <c r="K27" s="13"/>
      <c r="L27" s="13"/>
      <c r="M27" s="17"/>
      <c r="N27" s="18"/>
    </row>
    <row r="28" spans="1:14" ht="17.25" x14ac:dyDescent="0.25">
      <c r="A28" s="29" t="s">
        <v>332</v>
      </c>
      <c r="B28" s="89">
        <f>6.46799999999998E-07*ParametersCalculation!B26*ParametersCalculation!B22</f>
        <v>1.479295218083755E-6</v>
      </c>
      <c r="C28" s="89">
        <f>6.46799999999998E-07*ParametersCalculation!C26*ParametersCalculation!C22</f>
        <v>1.479295218083755E-6</v>
      </c>
      <c r="D28" s="66" t="s">
        <v>195</v>
      </c>
      <c r="E28" s="66" t="s">
        <v>195</v>
      </c>
      <c r="F28" s="66" t="s">
        <v>195</v>
      </c>
      <c r="G28" s="89">
        <f>6.46799999999998E-07*ParametersCalculation!G26*ParametersCalculation!G22</f>
        <v>1.479295218083755E-6</v>
      </c>
      <c r="H28" s="21"/>
      <c r="I28" s="1" t="s">
        <v>335</v>
      </c>
      <c r="K28" s="13"/>
      <c r="L28" s="13"/>
      <c r="M28" s="17"/>
      <c r="N28" s="18"/>
    </row>
    <row r="29" spans="1:14" x14ac:dyDescent="0.25">
      <c r="A29" s="29" t="s">
        <v>255</v>
      </c>
      <c r="B29" s="76">
        <v>20</v>
      </c>
      <c r="C29" s="76">
        <v>10</v>
      </c>
      <c r="D29" s="77" t="s">
        <v>195</v>
      </c>
      <c r="E29" s="77" t="s">
        <v>195</v>
      </c>
      <c r="F29" s="77" t="s">
        <v>195</v>
      </c>
      <c r="G29" s="76">
        <v>20</v>
      </c>
      <c r="H29" s="21"/>
      <c r="I29" s="59" t="s">
        <v>256</v>
      </c>
      <c r="K29" s="13"/>
      <c r="L29" s="13"/>
      <c r="M29" s="17"/>
      <c r="N29" s="18"/>
    </row>
    <row r="30" spans="1:14" x14ac:dyDescent="0.25">
      <c r="A30" s="29"/>
      <c r="B30" s="121" t="s">
        <v>250</v>
      </c>
      <c r="C30" s="121"/>
      <c r="D30" s="121"/>
      <c r="E30" s="121"/>
      <c r="F30" s="121"/>
      <c r="G30" s="121"/>
      <c r="H30" s="21"/>
      <c r="I30" s="59"/>
      <c r="K30" s="13"/>
      <c r="L30" s="13"/>
      <c r="M30" s="17"/>
      <c r="N30" s="18"/>
    </row>
    <row r="31" spans="1:14" ht="17.25" x14ac:dyDescent="0.25">
      <c r="A31" s="29" t="s">
        <v>211</v>
      </c>
      <c r="B31" s="63">
        <f>((B13*GasesProperties!$B$4*12/16)+(B14*GasesProperties!$B$5*12/44))*B22</f>
        <v>0.66669683113636369</v>
      </c>
      <c r="C31" s="63">
        <f>((C13*GasesProperties!$B$4*12/16)+(C14*GasesProperties!$B$5*12/44))*C22</f>
        <v>0.66669683113636369</v>
      </c>
      <c r="D31" s="63">
        <f>(D13*GasesProperties!$B$4*12/16)+(D14*GasesProperties!$B$5*12/44)</f>
        <v>0.54071113636363632</v>
      </c>
      <c r="E31" s="63">
        <f>(E13*GasesProperties!$B$4*12/16)+(E14*GasesProperties!$B$5*12/44)</f>
        <v>0.54071113636363632</v>
      </c>
      <c r="F31" s="63">
        <f>(F13*GasesProperties!$B$4*12/16)+(F14*GasesProperties!$B$5*12/44)</f>
        <v>0.54071113636363632</v>
      </c>
      <c r="G31" s="63">
        <f>((G13*GasesProperties!$B$4*12/16)+(G14*GasesProperties!$B$5*12/44))*G22</f>
        <v>0.66669683113636369</v>
      </c>
      <c r="H31" s="21"/>
      <c r="I31" s="59" t="s">
        <v>251</v>
      </c>
      <c r="K31" s="13"/>
      <c r="L31" s="13"/>
      <c r="M31" s="17"/>
      <c r="N31" s="18"/>
    </row>
    <row r="32" spans="1:14" ht="18.75" x14ac:dyDescent="0.35">
      <c r="A32" s="29" t="s">
        <v>220</v>
      </c>
      <c r="B32" s="63">
        <f>B31*44/12</f>
        <v>2.4445550475000002</v>
      </c>
      <c r="C32" s="63">
        <f>C31*44/12</f>
        <v>2.4445550475000002</v>
      </c>
      <c r="D32" s="63">
        <f t="shared" ref="D32" si="4">D31*44/12</f>
        <v>1.9826074999999996</v>
      </c>
      <c r="E32" s="63">
        <f>E31*44/12</f>
        <v>1.9826074999999996</v>
      </c>
      <c r="F32" s="63">
        <f>F31*44/12</f>
        <v>1.9826074999999996</v>
      </c>
      <c r="G32" s="63">
        <f>G31*44/12</f>
        <v>2.4445550475000002</v>
      </c>
      <c r="H32" s="21"/>
      <c r="K32" s="13"/>
      <c r="L32" s="13"/>
      <c r="M32" s="17"/>
      <c r="N32" s="18"/>
    </row>
    <row r="33" spans="1:14" ht="17.25" x14ac:dyDescent="0.25">
      <c r="A33" s="29"/>
      <c r="B33" s="121" t="s">
        <v>218</v>
      </c>
      <c r="C33" s="121"/>
      <c r="D33" s="121"/>
      <c r="E33" s="121"/>
      <c r="F33" s="121"/>
      <c r="G33" s="121"/>
      <c r="H33" s="21"/>
      <c r="K33" s="13"/>
      <c r="L33" s="13"/>
      <c r="M33" s="17"/>
      <c r="N33" s="18"/>
    </row>
    <row r="34" spans="1:14" x14ac:dyDescent="0.25">
      <c r="A34" s="29" t="s">
        <v>21</v>
      </c>
      <c r="B34" s="63">
        <f>B22*B14*B19*GasesProperties!$B$5</f>
        <v>3.3881261760000003E-2</v>
      </c>
      <c r="C34" s="63">
        <f>C22*C14*C19*GasesProperties!$B$5</f>
        <v>3.3881261760000003E-2</v>
      </c>
      <c r="D34" s="66" t="s">
        <v>195</v>
      </c>
      <c r="E34" s="66" t="s">
        <v>195</v>
      </c>
      <c r="F34" s="66" t="s">
        <v>195</v>
      </c>
      <c r="G34" s="63">
        <f>G22*G14*G19*GasesProperties!$B$5</f>
        <v>3.3881261760000003E-2</v>
      </c>
      <c r="H34" s="21"/>
      <c r="I34" s="46" t="s">
        <v>197</v>
      </c>
      <c r="K34" s="13"/>
      <c r="L34" s="13"/>
      <c r="M34" s="17"/>
      <c r="N34" s="18"/>
    </row>
    <row r="35" spans="1:14" x14ac:dyDescent="0.25">
      <c r="A35" s="29" t="s">
        <v>32</v>
      </c>
      <c r="B35" s="63">
        <f>B22*B13*B19*GasesProperties!$B$4</f>
        <v>1.612527264E-2</v>
      </c>
      <c r="C35" s="63">
        <f>C22*C13*C19*GasesProperties!$B$4</f>
        <v>1.612527264E-2</v>
      </c>
      <c r="D35" s="66" t="s">
        <v>195</v>
      </c>
      <c r="E35" s="66" t="s">
        <v>195</v>
      </c>
      <c r="F35" s="66" t="s">
        <v>195</v>
      </c>
      <c r="G35" s="63">
        <f>G22*G13*G19*GasesProperties!$B$4</f>
        <v>1.612527264E-2</v>
      </c>
      <c r="H35" s="21"/>
      <c r="I35" s="46" t="s">
        <v>196</v>
      </c>
      <c r="K35" s="13"/>
      <c r="L35" s="13"/>
      <c r="M35" s="17"/>
      <c r="N35" s="18"/>
    </row>
    <row r="36" spans="1:14" ht="17.25" x14ac:dyDescent="0.25">
      <c r="A36" s="29"/>
      <c r="B36" s="121" t="s">
        <v>217</v>
      </c>
      <c r="C36" s="121"/>
      <c r="D36" s="121"/>
      <c r="E36" s="121"/>
      <c r="F36" s="121"/>
      <c r="G36" s="121"/>
    </row>
    <row r="37" spans="1:14" ht="18" x14ac:dyDescent="0.35">
      <c r="A37" s="29" t="s">
        <v>163</v>
      </c>
      <c r="B37" s="61">
        <v>0.999</v>
      </c>
      <c r="C37" s="61">
        <v>0.999</v>
      </c>
      <c r="D37" s="77" t="s">
        <v>195</v>
      </c>
      <c r="E37" s="77" t="s">
        <v>195</v>
      </c>
      <c r="F37" s="77" t="s">
        <v>195</v>
      </c>
      <c r="G37" s="61">
        <v>0.999</v>
      </c>
    </row>
    <row r="38" spans="1:14" ht="18" x14ac:dyDescent="0.35">
      <c r="A38" s="29" t="s">
        <v>162</v>
      </c>
      <c r="B38" s="61">
        <v>0.9</v>
      </c>
      <c r="C38" s="61">
        <v>0.9</v>
      </c>
      <c r="D38" s="77" t="s">
        <v>195</v>
      </c>
      <c r="E38" s="77" t="s">
        <v>195</v>
      </c>
      <c r="F38" s="77" t="s">
        <v>195</v>
      </c>
      <c r="G38" s="61">
        <v>0.9</v>
      </c>
      <c r="I38" s="45" t="s">
        <v>249</v>
      </c>
    </row>
    <row r="39" spans="1:14" ht="18" x14ac:dyDescent="0.35">
      <c r="A39" s="29" t="s">
        <v>21</v>
      </c>
      <c r="B39" s="63">
        <f>B22*(B20+B21)*((B14*GasesProperties!$B$5)+(B13*B$37*GasesProperties!$B$4*44/16))</f>
        <v>0.49107702565838257</v>
      </c>
      <c r="C39" s="63">
        <f>C22*(C20+C21)*((C14*GasesProperties!$B$5)+(C13*C$37*GasesProperties!$B$4*44/16))</f>
        <v>0.49107702565838257</v>
      </c>
      <c r="D39" s="66" t="s">
        <v>195</v>
      </c>
      <c r="E39" s="66" t="s">
        <v>195</v>
      </c>
      <c r="F39" s="66" t="s">
        <v>195</v>
      </c>
      <c r="G39" s="63">
        <f>G22*(G20+G21)*((G14*GasesProperties!$B$5)+(G13*G$37*GasesProperties!$B$4*44/16))</f>
        <v>0.49107702565838257</v>
      </c>
      <c r="I39" t="s">
        <v>325</v>
      </c>
    </row>
    <row r="40" spans="1:14" ht="18" x14ac:dyDescent="0.35">
      <c r="A40" s="29" t="s">
        <v>32</v>
      </c>
      <c r="B40" s="68">
        <f>B22*(B20+B21)*B13*(1-B$37)*GasesProperties!$B$4</f>
        <v>1.0128686877000008E-4</v>
      </c>
      <c r="C40" s="68">
        <f>C22*(C20+C21)*C13*(1-C$37)*GasesProperties!$B$4</f>
        <v>1.0128686877000008E-4</v>
      </c>
      <c r="D40" s="66" t="s">
        <v>195</v>
      </c>
      <c r="E40" s="66" t="s">
        <v>195</v>
      </c>
      <c r="F40" s="66" t="s">
        <v>195</v>
      </c>
      <c r="G40" s="68">
        <f>G22*(G20+G21)*G13*(1-G$37)*GasesProperties!$B$4</f>
        <v>1.0128686877000008E-4</v>
      </c>
      <c r="I40" t="s">
        <v>326</v>
      </c>
    </row>
    <row r="41" spans="1:14" ht="17.25" x14ac:dyDescent="0.25">
      <c r="A41" s="29" t="s">
        <v>146</v>
      </c>
      <c r="B41" s="68">
        <f>0.0010912*(B$22*(B$20+B$21))</f>
        <v>2.7043536960000004E-4</v>
      </c>
      <c r="C41" s="68">
        <f>0.0010912*(C$22*(C$20+C$21))</f>
        <v>2.7043536960000004E-4</v>
      </c>
      <c r="D41" s="66" t="s">
        <v>195</v>
      </c>
      <c r="E41" s="66" t="s">
        <v>195</v>
      </c>
      <c r="F41" s="66" t="s">
        <v>195</v>
      </c>
      <c r="G41" s="68">
        <f>0.0010912*(G$22*(G$20+G$21))</f>
        <v>2.7043536960000004E-4</v>
      </c>
      <c r="I41" t="s">
        <v>327</v>
      </c>
    </row>
    <row r="42" spans="1:14" ht="17.25" x14ac:dyDescent="0.25">
      <c r="A42" s="29" t="s">
        <v>55</v>
      </c>
      <c r="B42" s="68">
        <f>0.000056831*(B$22*(B$20+B$21))</f>
        <v>1.4084597223000001E-5</v>
      </c>
      <c r="C42" s="68">
        <f>0.000056831*(C$22*(C$20+C$21))</f>
        <v>1.4084597223000001E-5</v>
      </c>
      <c r="D42" s="66" t="s">
        <v>195</v>
      </c>
      <c r="E42" s="66" t="s">
        <v>195</v>
      </c>
      <c r="F42" s="66" t="s">
        <v>195</v>
      </c>
      <c r="G42" s="68">
        <f>0.000056831*(G$22*(G$20+G$21))</f>
        <v>1.4084597223000001E-5</v>
      </c>
      <c r="I42" t="s">
        <v>327</v>
      </c>
      <c r="J42" s="47"/>
      <c r="K42" s="47"/>
    </row>
    <row r="43" spans="1:14" ht="17.25" x14ac:dyDescent="0.25">
      <c r="A43" s="29" t="s">
        <v>148</v>
      </c>
      <c r="B43" s="68">
        <f>0.00034098*(B$22*(B$20+B$21))</f>
        <v>8.4506096340000004E-5</v>
      </c>
      <c r="C43" s="68">
        <f>0.00034098*(C$22*(C$20+C$21))</f>
        <v>8.4506096340000004E-5</v>
      </c>
      <c r="D43" s="66" t="s">
        <v>195</v>
      </c>
      <c r="E43" s="66" t="s">
        <v>195</v>
      </c>
      <c r="F43" s="66" t="s">
        <v>195</v>
      </c>
      <c r="G43" s="68">
        <f>0.00034098*(G$22*(G$20+G$21))</f>
        <v>8.4506096340000004E-5</v>
      </c>
      <c r="H43" s="59"/>
      <c r="I43" t="s">
        <v>327</v>
      </c>
      <c r="J43" s="47"/>
      <c r="K43" s="47"/>
    </row>
    <row r="44" spans="1:14" ht="17.25" x14ac:dyDescent="0.25">
      <c r="A44" s="29" t="s">
        <v>46</v>
      </c>
      <c r="B44" s="68">
        <f>0.00056831*(B$22*(B$20+B$21))</f>
        <v>1.4084597223000002E-4</v>
      </c>
      <c r="C44" s="68">
        <f>0.00056831*(C$22*(C$20+C$21))</f>
        <v>1.4084597223000002E-4</v>
      </c>
      <c r="D44" s="66" t="s">
        <v>195</v>
      </c>
      <c r="E44" s="66" t="s">
        <v>195</v>
      </c>
      <c r="F44" s="66" t="s">
        <v>195</v>
      </c>
      <c r="G44" s="68">
        <f>0.00056831*(G$22*(G$20+G$21))</f>
        <v>1.4084597223000002E-4</v>
      </c>
      <c r="I44" t="s">
        <v>327</v>
      </c>
      <c r="J44" s="47"/>
      <c r="K44" s="47"/>
    </row>
    <row r="45" spans="1:14" ht="17.25" x14ac:dyDescent="0.25">
      <c r="A45" s="29" t="s">
        <v>328</v>
      </c>
      <c r="B45" s="68">
        <f>0.000045465*(B$22*(B$20+B$21))</f>
        <v>1.1267727345000002E-5</v>
      </c>
      <c r="C45" s="68">
        <f>0.000045465*(C$22*(C$20+C$21))</f>
        <v>1.1267727345000002E-5</v>
      </c>
      <c r="D45" s="66" t="s">
        <v>195</v>
      </c>
      <c r="E45" s="66" t="s">
        <v>195</v>
      </c>
      <c r="F45" s="66" t="s">
        <v>195</v>
      </c>
      <c r="G45" s="68">
        <f>0.000045465*(G$22*(G$20+G$21))</f>
        <v>1.1267727345000002E-5</v>
      </c>
      <c r="I45" t="s">
        <v>327</v>
      </c>
      <c r="J45" s="47"/>
      <c r="K45" s="47"/>
    </row>
    <row r="46" spans="1:14" ht="17.25" x14ac:dyDescent="0.25">
      <c r="A46" s="29" t="s">
        <v>329</v>
      </c>
      <c r="B46" s="68">
        <f>0.00000000015913*(B$22*(B$20+B$21))</f>
        <v>3.9437665290000002E-11</v>
      </c>
      <c r="C46" s="68">
        <f>0.00000000015913*(C$22*(C$20+C$21))</f>
        <v>3.9437665290000002E-11</v>
      </c>
      <c r="D46" s="66" t="s">
        <v>195</v>
      </c>
      <c r="E46" s="66" t="s">
        <v>195</v>
      </c>
      <c r="F46" s="66" t="s">
        <v>195</v>
      </c>
      <c r="G46" s="68">
        <f>0.00000000015913*(G$22*(G$20+G$21))</f>
        <v>3.9437665290000002E-11</v>
      </c>
      <c r="I46" t="s">
        <v>327</v>
      </c>
      <c r="J46" s="47"/>
      <c r="K46" s="47"/>
    </row>
    <row r="47" spans="1:14" x14ac:dyDescent="0.25">
      <c r="A47" s="52"/>
      <c r="B47" s="121" t="s">
        <v>94</v>
      </c>
      <c r="C47" s="121"/>
      <c r="D47" s="121"/>
      <c r="E47" s="121"/>
      <c r="F47" s="121"/>
      <c r="G47" s="121"/>
    </row>
    <row r="48" spans="1:14" ht="15" customHeight="1" x14ac:dyDescent="0.25">
      <c r="A48" s="29" t="s">
        <v>156</v>
      </c>
      <c r="B48" s="64">
        <v>0.25806451612903225</v>
      </c>
      <c r="C48" s="64">
        <v>0.34408602150537637</v>
      </c>
      <c r="D48" s="64">
        <v>5.3763440860215055E-2</v>
      </c>
      <c r="E48" s="64">
        <v>9.6774193548387094E-2</v>
      </c>
      <c r="F48" s="64">
        <v>2.1505376344086023E-2</v>
      </c>
      <c r="G48" s="64">
        <v>0.22580645161290322</v>
      </c>
      <c r="I48" s="59" t="s">
        <v>543</v>
      </c>
    </row>
    <row r="49" spans="1:14" ht="18" x14ac:dyDescent="0.35">
      <c r="A49" s="29" t="s">
        <v>157</v>
      </c>
      <c r="B49" s="125">
        <f>SUMPRODUCT(B13:G13,B48:G48)</f>
        <v>0.56999999999999995</v>
      </c>
      <c r="C49" s="126"/>
      <c r="D49" s="126"/>
      <c r="E49" s="126"/>
      <c r="F49" s="126"/>
      <c r="G49" s="127"/>
      <c r="H49" s="21"/>
      <c r="K49" s="13"/>
      <c r="L49" s="13"/>
      <c r="M49" s="17"/>
      <c r="N49" s="18"/>
    </row>
    <row r="50" spans="1:14" ht="18" x14ac:dyDescent="0.35">
      <c r="A50" s="29" t="s">
        <v>158</v>
      </c>
      <c r="B50" s="125">
        <f>SUMPRODUCT(B14:G14,B48:G48)</f>
        <v>0.4300000000000001</v>
      </c>
      <c r="C50" s="126"/>
      <c r="D50" s="126"/>
      <c r="E50" s="126"/>
      <c r="F50" s="126"/>
      <c r="G50" s="127"/>
      <c r="H50" s="21"/>
      <c r="K50" s="13"/>
      <c r="L50" s="13"/>
      <c r="M50" s="17"/>
      <c r="N50" s="18"/>
    </row>
    <row r="51" spans="1:14" x14ac:dyDescent="0.25">
      <c r="A51" s="13"/>
      <c r="B51" s="21"/>
      <c r="C51" s="21"/>
      <c r="D51" s="21"/>
      <c r="E51" s="21"/>
      <c r="F51" s="21"/>
      <c r="G51" s="21"/>
      <c r="H51" s="21"/>
      <c r="K51" s="13"/>
      <c r="L51" s="13"/>
      <c r="M51" s="17"/>
      <c r="N51" s="33"/>
    </row>
    <row r="52" spans="1:14" ht="18.75" x14ac:dyDescent="0.3">
      <c r="A52" s="43" t="s">
        <v>99</v>
      </c>
      <c r="F52" s="21"/>
      <c r="H52" s="88"/>
      <c r="I52" s="21"/>
      <c r="K52" s="13"/>
      <c r="L52" s="13"/>
      <c r="M52" s="17"/>
      <c r="N52" s="33"/>
    </row>
    <row r="53" spans="1:14" ht="30" x14ac:dyDescent="0.25">
      <c r="A53" s="13"/>
      <c r="B53" s="73" t="s">
        <v>95</v>
      </c>
      <c r="C53" s="73" t="s">
        <v>96</v>
      </c>
      <c r="D53" s="73" t="s">
        <v>97</v>
      </c>
      <c r="E53" s="73" t="s">
        <v>98</v>
      </c>
      <c r="H53" s="90"/>
      <c r="I53" s="21"/>
      <c r="K53" s="13"/>
      <c r="L53" s="13"/>
      <c r="M53" s="17"/>
      <c r="N53" s="33"/>
    </row>
    <row r="54" spans="1:14" x14ac:dyDescent="0.25">
      <c r="B54" s="121" t="s">
        <v>337</v>
      </c>
      <c r="C54" s="121"/>
      <c r="D54" s="121"/>
      <c r="E54" s="121"/>
      <c r="G54" s="21"/>
      <c r="H54" s="21"/>
      <c r="I54" s="21"/>
      <c r="K54" s="13"/>
      <c r="L54" s="13"/>
      <c r="M54" s="17"/>
      <c r="N54" s="33"/>
    </row>
    <row r="55" spans="1:14" x14ac:dyDescent="0.25">
      <c r="A55" s="29" t="s">
        <v>102</v>
      </c>
      <c r="B55" s="61">
        <v>0.97</v>
      </c>
      <c r="C55" s="61">
        <v>0.99</v>
      </c>
      <c r="D55" s="61">
        <v>0.97</v>
      </c>
      <c r="E55" s="61">
        <v>0.96</v>
      </c>
      <c r="G55" s="21"/>
      <c r="H55" s="21"/>
      <c r="I55" s="45" t="s">
        <v>546</v>
      </c>
      <c r="K55" s="13"/>
      <c r="L55" s="13"/>
      <c r="M55" s="17"/>
      <c r="N55" s="33"/>
    </row>
    <row r="56" spans="1:14" x14ac:dyDescent="0.25">
      <c r="A56" s="29" t="s">
        <v>105</v>
      </c>
      <c r="B56" s="61">
        <v>0.02</v>
      </c>
      <c r="C56" s="61">
        <v>1E-3</v>
      </c>
      <c r="D56" s="61">
        <v>0.01</v>
      </c>
      <c r="E56" s="61">
        <v>0.03</v>
      </c>
      <c r="G56" s="21"/>
      <c r="H56" s="21"/>
      <c r="I56" s="45" t="s">
        <v>546</v>
      </c>
      <c r="K56" s="13"/>
      <c r="L56" s="13"/>
      <c r="M56" s="17"/>
      <c r="N56" s="33"/>
    </row>
    <row r="57" spans="1:14" ht="17.25" x14ac:dyDescent="0.25">
      <c r="A57" s="29" t="s">
        <v>345</v>
      </c>
      <c r="B57" s="63">
        <f>B55*GasesProperties!$B$4+(1-B55)*GasesProperties!$B$5</f>
        <v>0.75539999999999996</v>
      </c>
      <c r="C57" s="63">
        <f>C55*GasesProperties!$B$4+(1-C55)*GasesProperties!$B$5</f>
        <v>0.7298</v>
      </c>
      <c r="D57" s="63">
        <f>D55*GasesProperties!$B$4+(1-D55)*GasesProperties!$B$5</f>
        <v>0.75539999999999996</v>
      </c>
      <c r="E57" s="63">
        <f>E55*GasesProperties!$B$4+(1-E55)*GasesProperties!$B$5</f>
        <v>0.76819999999999999</v>
      </c>
      <c r="G57" s="21"/>
      <c r="H57" s="21"/>
      <c r="I57" s="45"/>
      <c r="K57" s="13"/>
      <c r="L57" s="13"/>
      <c r="M57" s="17"/>
      <c r="N57" s="33"/>
    </row>
    <row r="58" spans="1:14" x14ac:dyDescent="0.25">
      <c r="A58" s="29" t="s">
        <v>340</v>
      </c>
      <c r="B58" s="91">
        <v>7</v>
      </c>
      <c r="C58" s="91">
        <v>4</v>
      </c>
      <c r="D58" s="91">
        <v>10</v>
      </c>
      <c r="E58" s="91">
        <v>3</v>
      </c>
      <c r="G58" s="21"/>
      <c r="H58" s="21"/>
      <c r="I58" s="45" t="s">
        <v>101</v>
      </c>
      <c r="K58" s="13"/>
      <c r="L58" s="13"/>
      <c r="M58" s="17"/>
      <c r="N58" s="33"/>
    </row>
    <row r="59" spans="1:14" x14ac:dyDescent="0.25">
      <c r="A59" s="29" t="s">
        <v>344</v>
      </c>
      <c r="B59" s="91">
        <v>24</v>
      </c>
      <c r="C59" s="91">
        <v>24</v>
      </c>
      <c r="D59" s="91">
        <v>24</v>
      </c>
      <c r="E59" s="91">
        <v>24</v>
      </c>
      <c r="G59" s="21"/>
      <c r="H59" s="21"/>
      <c r="I59" s="45" t="s">
        <v>101</v>
      </c>
      <c r="K59" s="13"/>
      <c r="L59" s="13"/>
      <c r="M59" s="17"/>
      <c r="N59" s="33"/>
    </row>
    <row r="60" spans="1:14" x14ac:dyDescent="0.25">
      <c r="B60" s="121" t="s">
        <v>336</v>
      </c>
      <c r="C60" s="121"/>
      <c r="D60" s="121"/>
      <c r="E60" s="121"/>
      <c r="G60" s="21"/>
      <c r="H60" s="21"/>
      <c r="I60" s="45"/>
      <c r="K60" s="13"/>
      <c r="L60" s="13"/>
      <c r="M60" s="17"/>
      <c r="N60" s="33"/>
    </row>
    <row r="61" spans="1:14" ht="17.25" x14ac:dyDescent="0.25">
      <c r="A61" s="29" t="s">
        <v>346</v>
      </c>
      <c r="B61" s="74">
        <f>B55/$B$49*(1+B56)</f>
        <v>1.7357894736842108</v>
      </c>
      <c r="C61" s="74">
        <f>C55/$B$49*(1+C56)</f>
        <v>1.738578947368421</v>
      </c>
      <c r="D61" s="74">
        <f>D55/$B$49*(1+D56)</f>
        <v>1.7187719298245616</v>
      </c>
      <c r="E61" s="74">
        <f>E55/$B$49*(1+E56)</f>
        <v>1.7347368421052634</v>
      </c>
      <c r="G61" s="21"/>
      <c r="H61" s="21"/>
      <c r="I61" s="46" t="s">
        <v>123</v>
      </c>
      <c r="K61" s="13"/>
      <c r="L61" s="13"/>
      <c r="M61" s="17"/>
      <c r="N61" s="33"/>
    </row>
    <row r="62" spans="1:14" ht="18.75" x14ac:dyDescent="0.35">
      <c r="A62" s="29" t="s">
        <v>347</v>
      </c>
      <c r="B62" s="74">
        <f>B61*$B$49*B56*GasesProperties!$B$4</f>
        <v>1.4187996E-2</v>
      </c>
      <c r="C62" s="74">
        <f>C61*$B$49*C56*GasesProperties!$B$4</f>
        <v>7.1053982999999999E-4</v>
      </c>
      <c r="D62" s="74">
        <f>D61*$B$49*D56*GasesProperties!$B$4</f>
        <v>7.0244489999999995E-3</v>
      </c>
      <c r="E62" s="74">
        <f>E61*$B$49*E56*GasesProperties!$B$4</f>
        <v>2.1269087999999998E-2</v>
      </c>
      <c r="F62" s="21"/>
      <c r="G62" s="21"/>
      <c r="H62" s="21"/>
      <c r="I62" s="21"/>
      <c r="K62" s="13"/>
      <c r="L62" s="13"/>
      <c r="M62" s="17"/>
      <c r="N62" s="33"/>
    </row>
    <row r="63" spans="1:14" ht="18.75" x14ac:dyDescent="0.35">
      <c r="A63" s="29" t="s">
        <v>348</v>
      </c>
      <c r="B63" s="74">
        <f>B61*$B$50*B55*GasesProperties!$B$5</f>
        <v>1.4458235855789479</v>
      </c>
      <c r="C63" s="74">
        <f>C61*$B$50*C55*GasesProperties!$B$5</f>
        <v>1.4780057766157897</v>
      </c>
      <c r="D63" s="74">
        <f>D61*$B$50*D55*GasesProperties!$B$5</f>
        <v>1.4316488445438602</v>
      </c>
      <c r="E63" s="74">
        <f>E61*$B$50*E55*GasesProperties!$B$5</f>
        <v>1.4300504387368427</v>
      </c>
      <c r="F63" s="21"/>
      <c r="G63" s="21"/>
      <c r="H63" s="21"/>
      <c r="I63" s="21"/>
      <c r="K63" s="13"/>
      <c r="L63" s="13"/>
      <c r="M63" s="17"/>
      <c r="N63" s="33"/>
    </row>
    <row r="64" spans="1:14" ht="18.75" x14ac:dyDescent="0.35">
      <c r="A64" s="29" t="s">
        <v>349</v>
      </c>
      <c r="B64" s="74">
        <f>B61*$B$50*B56*GasesProperties!$B$5</f>
        <v>2.9810795578947384E-2</v>
      </c>
      <c r="C64" s="74">
        <f>C61*$B$50*C56*GasesProperties!$B$5</f>
        <v>1.4929351278947373E-3</v>
      </c>
      <c r="D64" s="74">
        <f>D61*$B$50*D56*GasesProperties!$B$5</f>
        <v>1.4759266438596498E-2</v>
      </c>
      <c r="E64" s="74">
        <f>E61*$B$50*E56*GasesProperties!$B$5</f>
        <v>4.4689076210526334E-2</v>
      </c>
      <c r="F64" s="21"/>
      <c r="G64" s="21"/>
      <c r="H64" s="21"/>
      <c r="I64" s="21"/>
      <c r="K64" s="13"/>
      <c r="L64" s="13"/>
      <c r="M64" s="17"/>
      <c r="N64" s="33"/>
    </row>
    <row r="65" spans="1:14" ht="18.75" x14ac:dyDescent="0.35">
      <c r="A65" s="29" t="s">
        <v>350</v>
      </c>
      <c r="B65" s="74">
        <f>B63-B64</f>
        <v>1.4160127900000006</v>
      </c>
      <c r="C65" s="74">
        <f t="shared" ref="C65:E65" si="5">C63-C64</f>
        <v>1.476512841487895</v>
      </c>
      <c r="D65" s="74">
        <f t="shared" si="5"/>
        <v>1.4168895781052637</v>
      </c>
      <c r="E65" s="74">
        <f t="shared" si="5"/>
        <v>1.3853613625263164</v>
      </c>
      <c r="F65" s="21"/>
      <c r="G65" s="21"/>
      <c r="H65" s="21"/>
      <c r="I65" s="21"/>
      <c r="K65" s="13"/>
      <c r="L65" s="13"/>
      <c r="M65" s="17"/>
      <c r="N65" s="33"/>
    </row>
    <row r="66" spans="1:14" x14ac:dyDescent="0.25">
      <c r="A66" s="29"/>
      <c r="B66" s="121" t="s">
        <v>246</v>
      </c>
      <c r="C66" s="121"/>
      <c r="D66" s="121"/>
      <c r="E66" s="121"/>
      <c r="F66" s="21"/>
      <c r="G66" s="21"/>
      <c r="H66" s="21"/>
      <c r="I66" s="21"/>
      <c r="K66" s="13"/>
      <c r="L66" s="13"/>
      <c r="M66" s="17"/>
      <c r="N66" s="33"/>
    </row>
    <row r="67" spans="1:14" ht="17.25" x14ac:dyDescent="0.25">
      <c r="A67" s="29" t="s">
        <v>351</v>
      </c>
      <c r="B67" s="75">
        <v>0.28000000000000003</v>
      </c>
      <c r="C67" s="75">
        <v>0.14000000000000001</v>
      </c>
      <c r="D67" s="75">
        <v>0.3</v>
      </c>
      <c r="E67" s="75">
        <v>0.23</v>
      </c>
      <c r="F67" s="21"/>
      <c r="G67" s="21"/>
      <c r="H67" s="21"/>
      <c r="I67" s="45" t="s">
        <v>546</v>
      </c>
      <c r="K67" s="13"/>
      <c r="L67" s="13"/>
      <c r="M67" s="17"/>
      <c r="N67" s="33"/>
    </row>
    <row r="68" spans="1:14" x14ac:dyDescent="0.25">
      <c r="A68" s="29" t="s">
        <v>341</v>
      </c>
      <c r="B68" s="75">
        <v>0.08</v>
      </c>
      <c r="C68" s="75">
        <v>0.13</v>
      </c>
      <c r="D68" s="75">
        <v>0.05</v>
      </c>
      <c r="E68" s="75">
        <v>0.15</v>
      </c>
      <c r="F68" s="21"/>
      <c r="G68" s="21"/>
      <c r="H68" s="21"/>
      <c r="I68" s="45" t="s">
        <v>101</v>
      </c>
      <c r="K68" s="13"/>
      <c r="L68" s="13"/>
      <c r="M68" s="17"/>
      <c r="N68" s="33"/>
    </row>
    <row r="69" spans="1:14" ht="18" x14ac:dyDescent="0.35">
      <c r="A69" s="29" t="s">
        <v>342</v>
      </c>
      <c r="B69" s="75">
        <v>0.14599999999999999</v>
      </c>
      <c r="C69" s="75">
        <v>0.14599999999999999</v>
      </c>
      <c r="D69" s="75">
        <v>0.14599999999999999</v>
      </c>
      <c r="E69" s="75">
        <v>0.14599999999999999</v>
      </c>
      <c r="F69" s="21"/>
      <c r="G69" s="21"/>
      <c r="H69" s="21"/>
      <c r="I69" s="45" t="s">
        <v>343</v>
      </c>
      <c r="K69" s="13"/>
      <c r="L69" s="13"/>
      <c r="M69" s="17"/>
      <c r="N69" s="33"/>
    </row>
    <row r="70" spans="1:14" ht="17.25" x14ac:dyDescent="0.25">
      <c r="A70" s="29" t="s">
        <v>352</v>
      </c>
      <c r="B70" s="74">
        <f>B67*B61+B68*B57</f>
        <v>0.54645305263157906</v>
      </c>
      <c r="C70" s="74">
        <f t="shared" ref="C70:E70" si="6">C67*C61+C68*C57</f>
        <v>0.33827505263157898</v>
      </c>
      <c r="D70" s="74">
        <f t="shared" si="6"/>
        <v>0.55340157894736841</v>
      </c>
      <c r="E70" s="74">
        <f t="shared" si="6"/>
        <v>0.51421947368421062</v>
      </c>
      <c r="F70" s="21"/>
      <c r="G70" s="21"/>
      <c r="H70" s="21"/>
      <c r="I70" s="45"/>
      <c r="K70" s="13"/>
      <c r="L70" s="13"/>
      <c r="M70" s="17"/>
      <c r="N70" s="33"/>
    </row>
    <row r="71" spans="1:14" ht="17.25" x14ac:dyDescent="0.25">
      <c r="A71" s="29" t="s">
        <v>353</v>
      </c>
      <c r="B71" s="74">
        <f>B67*B61+B68*B57+B65*B69</f>
        <v>0.75319091997157916</v>
      </c>
      <c r="C71" s="74">
        <f t="shared" ref="C71:E71" si="7">C67*C61+C68*C57+C65*C69</f>
        <v>0.55384592748881167</v>
      </c>
      <c r="D71" s="74">
        <f t="shared" si="7"/>
        <v>0.76026745735073686</v>
      </c>
      <c r="E71" s="74">
        <f t="shared" si="7"/>
        <v>0.71648223261305277</v>
      </c>
      <c r="F71" s="21"/>
      <c r="G71" s="21"/>
      <c r="H71" s="21"/>
      <c r="I71" s="45"/>
      <c r="K71" s="13"/>
      <c r="L71" s="13"/>
      <c r="M71" s="17"/>
      <c r="N71" s="33"/>
    </row>
    <row r="72" spans="1:14" ht="17.25" x14ac:dyDescent="0.25">
      <c r="A72" s="29" t="s">
        <v>354</v>
      </c>
      <c r="B72" s="63" t="s">
        <v>355</v>
      </c>
      <c r="C72" s="74">
        <f>0.55*C61*3.6</f>
        <v>3.4423863157894741</v>
      </c>
      <c r="D72" s="63" t="s">
        <v>355</v>
      </c>
      <c r="E72" s="63" t="s">
        <v>355</v>
      </c>
      <c r="F72" s="21"/>
      <c r="G72" s="21"/>
      <c r="H72" s="21"/>
      <c r="I72" s="45" t="s">
        <v>546</v>
      </c>
      <c r="K72" s="13"/>
      <c r="L72" s="13"/>
      <c r="M72" s="17"/>
      <c r="N72" s="33"/>
    </row>
    <row r="73" spans="1:14" ht="17.25" x14ac:dyDescent="0.25">
      <c r="A73" s="29" t="s">
        <v>356</v>
      </c>
      <c r="B73" s="74">
        <f>0.1*B61</f>
        <v>0.17357894736842108</v>
      </c>
      <c r="C73" s="63" t="s">
        <v>355</v>
      </c>
      <c r="D73" s="63" t="s">
        <v>355</v>
      </c>
      <c r="E73" s="63" t="s">
        <v>355</v>
      </c>
      <c r="F73" s="21"/>
      <c r="G73" s="21"/>
      <c r="H73" s="21"/>
      <c r="I73" s="45" t="s">
        <v>546</v>
      </c>
      <c r="K73" s="13"/>
      <c r="L73" s="13"/>
      <c r="M73" s="17"/>
      <c r="N73" s="33"/>
    </row>
    <row r="74" spans="1:14" x14ac:dyDescent="0.25">
      <c r="A74" s="29"/>
      <c r="B74" s="121" t="s">
        <v>155</v>
      </c>
      <c r="C74" s="121"/>
      <c r="D74" s="121"/>
      <c r="E74" s="121"/>
      <c r="F74" s="21"/>
      <c r="G74" s="21"/>
      <c r="H74" s="21"/>
      <c r="I74" s="21"/>
      <c r="K74" s="13"/>
      <c r="L74" s="13"/>
      <c r="M74" s="17"/>
      <c r="N74" s="33"/>
    </row>
    <row r="75" spans="1:14" x14ac:dyDescent="0.25">
      <c r="A75" s="29" t="s">
        <v>193</v>
      </c>
      <c r="B75" s="64">
        <v>0.32258064516129031</v>
      </c>
      <c r="C75" s="64">
        <v>0.31182795698924726</v>
      </c>
      <c r="D75" s="64">
        <v>0.23655913978494622</v>
      </c>
      <c r="E75" s="64">
        <v>0.12903225806451613</v>
      </c>
      <c r="F75" s="21"/>
      <c r="G75" s="21"/>
      <c r="H75" s="21"/>
      <c r="I75" t="s">
        <v>187</v>
      </c>
      <c r="K75" s="13"/>
      <c r="L75" s="13"/>
      <c r="M75" s="17"/>
      <c r="N75" s="33"/>
    </row>
    <row r="76" spans="1:14" x14ac:dyDescent="0.25">
      <c r="A76" s="29" t="s">
        <v>161</v>
      </c>
      <c r="B76" s="125">
        <f>SUMPRODUCT(B55:E55,B75:E75)</f>
        <v>0.97494623655913981</v>
      </c>
      <c r="C76" s="126"/>
      <c r="D76" s="126"/>
      <c r="E76" s="127"/>
      <c r="G76" s="21"/>
      <c r="H76" s="21"/>
      <c r="I76" s="21"/>
      <c r="K76" s="13"/>
      <c r="L76" s="13"/>
      <c r="M76" s="17"/>
      <c r="N76" s="33"/>
    </row>
    <row r="77" spans="1:14" ht="17.25" x14ac:dyDescent="0.25">
      <c r="A77" s="29" t="s">
        <v>219</v>
      </c>
      <c r="B77" s="122">
        <f>B76*GasesProperties!$C$4</f>
        <v>34.903075268817204</v>
      </c>
      <c r="C77" s="123"/>
      <c r="D77" s="123"/>
      <c r="E77" s="124"/>
      <c r="G77" s="21"/>
      <c r="H77" s="21"/>
      <c r="I77" s="14" t="s">
        <v>270</v>
      </c>
      <c r="K77" s="13"/>
      <c r="L77" s="13"/>
      <c r="M77" s="17"/>
      <c r="N77" s="33"/>
    </row>
    <row r="78" spans="1:14" x14ac:dyDescent="0.25">
      <c r="G78" s="21"/>
      <c r="H78" s="21"/>
      <c r="I78" s="21"/>
      <c r="K78" s="13"/>
      <c r="L78" s="13"/>
      <c r="M78" s="17"/>
      <c r="N78" s="33"/>
    </row>
    <row r="79" spans="1:14" ht="18.75" x14ac:dyDescent="0.3">
      <c r="A79" s="43" t="s">
        <v>365</v>
      </c>
      <c r="B79" s="21"/>
      <c r="C79" s="21"/>
      <c r="D79" s="21"/>
      <c r="E79" s="21"/>
      <c r="F79" s="21"/>
      <c r="G79" s="21"/>
      <c r="H79" s="21"/>
      <c r="I79" s="21"/>
      <c r="K79" s="13"/>
      <c r="L79" s="13"/>
      <c r="M79" s="17"/>
      <c r="N79" s="33"/>
    </row>
    <row r="80" spans="1:14" x14ac:dyDescent="0.25">
      <c r="A80" s="53" t="s">
        <v>210</v>
      </c>
      <c r="B80" s="53" t="s">
        <v>367</v>
      </c>
      <c r="C80" s="21"/>
      <c r="D80" s="21"/>
      <c r="E80" s="21"/>
      <c r="F80" s="21"/>
      <c r="G80" s="21"/>
      <c r="H80" s="21"/>
      <c r="I80" s="21"/>
      <c r="K80" s="13"/>
      <c r="L80" s="13"/>
      <c r="M80" s="17"/>
      <c r="N80" s="33"/>
    </row>
    <row r="81" spans="1:14" ht="18" x14ac:dyDescent="0.35">
      <c r="A81" s="29" t="s">
        <v>162</v>
      </c>
      <c r="B81" s="61">
        <v>0.98849455679999954</v>
      </c>
      <c r="C81" s="21"/>
      <c r="D81" s="21"/>
      <c r="E81" s="21"/>
      <c r="F81" s="21"/>
      <c r="G81" s="21"/>
      <c r="H81" s="21"/>
      <c r="I81" s="21"/>
      <c r="K81" s="13"/>
      <c r="L81" s="13"/>
      <c r="M81" s="17"/>
      <c r="N81" s="33"/>
    </row>
    <row r="82" spans="1:14" ht="18" x14ac:dyDescent="0.35">
      <c r="A82" s="29" t="s">
        <v>163</v>
      </c>
      <c r="B82" s="61">
        <v>0.99990000000000001</v>
      </c>
      <c r="C82" s="21"/>
      <c r="D82" s="21"/>
      <c r="E82" s="21"/>
      <c r="F82" s="21"/>
      <c r="G82" s="21"/>
      <c r="H82" s="21"/>
      <c r="I82" s="21"/>
      <c r="K82" s="13"/>
      <c r="L82" s="13"/>
      <c r="M82" s="17"/>
      <c r="N82" s="33"/>
    </row>
    <row r="83" spans="1:14" x14ac:dyDescent="0.25">
      <c r="A83" s="29" t="s">
        <v>363</v>
      </c>
      <c r="B83" s="61">
        <v>0.9</v>
      </c>
      <c r="C83" s="21"/>
      <c r="D83" s="21"/>
      <c r="E83" s="21"/>
      <c r="F83" s="21"/>
      <c r="G83" s="21"/>
      <c r="H83" s="21"/>
      <c r="I83" s="45" t="s">
        <v>366</v>
      </c>
      <c r="K83" s="13"/>
      <c r="L83" s="13"/>
      <c r="M83" s="17"/>
      <c r="N83" s="33"/>
    </row>
    <row r="84" spans="1:14" ht="18.75" x14ac:dyDescent="0.35">
      <c r="A84" s="29" t="s">
        <v>166</v>
      </c>
      <c r="B84" s="63">
        <f>B76*GasesProperties!C4*B81*B82</f>
        <v>34.49804976881461</v>
      </c>
      <c r="C84" s="21"/>
      <c r="D84" s="21"/>
      <c r="E84" s="21"/>
      <c r="F84" s="21"/>
      <c r="G84" s="21"/>
      <c r="H84" s="21"/>
      <c r="I84" s="21"/>
      <c r="K84" s="13"/>
      <c r="L84" s="13"/>
      <c r="M84" s="17"/>
      <c r="N84" s="33"/>
    </row>
    <row r="85" spans="1:14" ht="18.75" x14ac:dyDescent="0.35">
      <c r="A85" s="29" t="s">
        <v>164</v>
      </c>
      <c r="B85" s="63">
        <f>1/B84</f>
        <v>2.8987145844515984E-2</v>
      </c>
      <c r="C85" s="21"/>
      <c r="D85" s="21"/>
      <c r="E85" s="21"/>
      <c r="F85" s="21"/>
      <c r="G85" s="21"/>
      <c r="H85" s="21"/>
      <c r="I85" s="46" t="s">
        <v>224</v>
      </c>
      <c r="K85" s="13"/>
      <c r="L85" s="13"/>
      <c r="M85" s="17"/>
      <c r="N85" s="33"/>
    </row>
    <row r="86" spans="1:14" ht="18" x14ac:dyDescent="0.35">
      <c r="A86" s="29" t="s">
        <v>167</v>
      </c>
      <c r="B86" s="68">
        <f>B85*B76*(1-B82)</f>
        <v>2.8260908749698655E-6</v>
      </c>
      <c r="C86" s="21"/>
      <c r="D86" s="21"/>
      <c r="E86" s="21"/>
      <c r="F86" s="21"/>
      <c r="G86" s="21"/>
      <c r="H86" s="21"/>
      <c r="I86" s="46" t="s">
        <v>168</v>
      </c>
      <c r="K86" s="13"/>
      <c r="L86" s="13"/>
      <c r="M86" s="17"/>
      <c r="N86" s="33"/>
    </row>
    <row r="87" spans="1:14" ht="18" x14ac:dyDescent="0.35">
      <c r="A87" s="29" t="s">
        <v>165</v>
      </c>
      <c r="B87" s="74">
        <f>(B85*(1-B76)*GasesProperties!B5)+(B85*B76*B82*GasesProperties!B4*44/16)</f>
        <v>5.716816996088573E-2</v>
      </c>
      <c r="C87" s="21"/>
      <c r="D87" s="21"/>
      <c r="E87" s="21"/>
      <c r="F87" s="21"/>
      <c r="G87" s="21"/>
      <c r="H87" s="21"/>
      <c r="I87" s="14" t="s">
        <v>169</v>
      </c>
      <c r="K87" s="13"/>
      <c r="L87" s="13"/>
      <c r="M87" s="17"/>
      <c r="N87" s="33"/>
    </row>
    <row r="88" spans="1:14" ht="18" x14ac:dyDescent="0.35">
      <c r="A88" s="29" t="s">
        <v>170</v>
      </c>
      <c r="B88" s="74">
        <f>B87*(1-B83)</f>
        <v>5.7168169960885714E-3</v>
      </c>
      <c r="C88" s="21"/>
      <c r="D88" s="21"/>
      <c r="E88" s="21"/>
      <c r="F88" s="21"/>
      <c r="G88" s="21"/>
      <c r="H88" s="21"/>
      <c r="I88" s="21"/>
      <c r="K88" s="13"/>
      <c r="L88" s="13"/>
      <c r="M88" s="17"/>
      <c r="N88" s="33"/>
    </row>
    <row r="89" spans="1:14" ht="18" x14ac:dyDescent="0.35">
      <c r="A89" s="29" t="s">
        <v>279</v>
      </c>
      <c r="B89" s="74">
        <f>B87*B83</f>
        <v>5.1451352964797158E-2</v>
      </c>
      <c r="C89" s="21"/>
      <c r="D89" s="21"/>
      <c r="E89" s="21"/>
      <c r="F89" s="21"/>
      <c r="G89" s="21"/>
      <c r="H89" s="21"/>
      <c r="I89" s="21"/>
      <c r="K89" s="13"/>
      <c r="L89" s="13"/>
      <c r="M89" s="17"/>
      <c r="N89" s="33"/>
    </row>
    <row r="90" spans="1:14" x14ac:dyDescent="0.25">
      <c r="A90" s="13"/>
      <c r="B90" s="21"/>
      <c r="C90" s="21"/>
      <c r="D90" s="21"/>
      <c r="E90" s="21"/>
      <c r="F90" s="21"/>
      <c r="G90" s="21"/>
      <c r="H90" s="21"/>
      <c r="I90" s="21"/>
      <c r="K90" s="13"/>
      <c r="L90" s="13"/>
      <c r="M90" s="17"/>
      <c r="N90" s="33"/>
    </row>
    <row r="91" spans="1:14" ht="18.75" x14ac:dyDescent="0.3">
      <c r="A91" s="43" t="s">
        <v>361</v>
      </c>
      <c r="B91" s="21"/>
      <c r="C91" s="21"/>
      <c r="D91" s="21"/>
      <c r="E91" s="21"/>
      <c r="F91" s="21"/>
      <c r="G91" s="21"/>
      <c r="H91" s="21"/>
      <c r="I91" s="21"/>
      <c r="K91" s="13"/>
      <c r="L91" s="13"/>
      <c r="M91" s="17"/>
      <c r="N91" s="33"/>
    </row>
    <row r="92" spans="1:14" x14ac:dyDescent="0.25">
      <c r="A92" s="53" t="s">
        <v>210</v>
      </c>
      <c r="B92" s="53" t="s">
        <v>367</v>
      </c>
      <c r="C92" s="21"/>
      <c r="D92" s="21"/>
      <c r="E92" s="21"/>
      <c r="F92" s="21"/>
      <c r="G92" s="21"/>
      <c r="H92" s="21"/>
      <c r="I92" s="21"/>
      <c r="K92" s="13"/>
      <c r="L92" s="13"/>
      <c r="M92" s="17"/>
      <c r="N92" s="33"/>
    </row>
    <row r="93" spans="1:14" x14ac:dyDescent="0.25">
      <c r="A93" s="29" t="s">
        <v>362</v>
      </c>
      <c r="B93" s="61">
        <v>0.99660000000000004</v>
      </c>
      <c r="C93" s="21"/>
      <c r="D93" s="21"/>
      <c r="E93" s="21"/>
      <c r="F93" s="21"/>
      <c r="G93" s="21"/>
      <c r="H93" s="21"/>
      <c r="I93" s="45" t="s">
        <v>364</v>
      </c>
      <c r="K93" s="13"/>
      <c r="L93" s="13"/>
      <c r="M93" s="17"/>
      <c r="N93" s="33"/>
    </row>
    <row r="94" spans="1:14" ht="18" x14ac:dyDescent="0.35">
      <c r="A94" s="29" t="s">
        <v>342</v>
      </c>
      <c r="B94" s="75">
        <v>0.14599999999999999</v>
      </c>
      <c r="C94" s="21"/>
      <c r="D94" s="21"/>
      <c r="E94" s="21"/>
      <c r="F94" s="21"/>
      <c r="G94" s="21"/>
      <c r="H94" s="21"/>
      <c r="I94" s="45" t="s">
        <v>343</v>
      </c>
      <c r="K94" s="13"/>
      <c r="L94" s="13"/>
      <c r="M94" s="17"/>
      <c r="N94" s="33"/>
    </row>
    <row r="95" spans="1:14" x14ac:dyDescent="0.25">
      <c r="A95" s="13"/>
      <c r="B95" s="21"/>
      <c r="C95" s="21"/>
      <c r="D95" s="21"/>
      <c r="E95" s="21"/>
      <c r="F95" s="21"/>
      <c r="G95" s="21"/>
      <c r="H95" s="21"/>
      <c r="I95" s="21"/>
      <c r="K95" s="13"/>
      <c r="L95" s="13"/>
      <c r="M95" s="17"/>
      <c r="N95" s="33"/>
    </row>
    <row r="96" spans="1:14" ht="18.75" x14ac:dyDescent="0.3">
      <c r="A96" s="43" t="s">
        <v>372</v>
      </c>
      <c r="B96" s="99" t="s">
        <v>515</v>
      </c>
      <c r="C96" s="99" t="s">
        <v>514</v>
      </c>
      <c r="D96" s="21"/>
      <c r="E96" s="21"/>
      <c r="F96" s="21"/>
      <c r="G96" s="21"/>
      <c r="H96" s="21"/>
      <c r="I96" s="21"/>
      <c r="K96" s="13"/>
      <c r="L96" s="13"/>
      <c r="M96" s="17"/>
      <c r="N96" s="33"/>
    </row>
    <row r="97" spans="1:14" x14ac:dyDescent="0.25">
      <c r="A97" t="s">
        <v>375</v>
      </c>
      <c r="B97" s="96" t="e">
        <f>'LCI_Ammonia_NG&amp;Biomethane'!H4*GasesProperties!D3+'LCI_Ammonia_NG&amp;Biomethane'!H7+('LCI_Ammonia_NG&amp;Biomethane'!H13+'LCI_Ammonia_NG&amp;Biomethane'!H7*LCI_Heat!H7)*3.6</f>
        <v>#VALUE!</v>
      </c>
      <c r="C97" t="s">
        <v>516</v>
      </c>
      <c r="K97" s="13"/>
      <c r="L97" s="13"/>
      <c r="M97" s="17"/>
      <c r="N97" s="33"/>
    </row>
    <row r="98" spans="1:14" x14ac:dyDescent="0.25">
      <c r="A98" s="34" t="s">
        <v>368</v>
      </c>
      <c r="B98" s="93" t="e">
        <f>'LCI_Ammonia_NG&amp;Biomethane'!H4+'LCI_Ammonia_NG&amp;Biomethane'!H7*LCI_Heat!H4</f>
        <v>#VALUE!</v>
      </c>
      <c r="C98" s="21"/>
      <c r="D98" s="21"/>
      <c r="E98" s="21"/>
      <c r="F98" s="21"/>
      <c r="G98" s="21"/>
      <c r="H98" s="21"/>
      <c r="K98" s="13"/>
      <c r="L98" s="13"/>
      <c r="M98" s="17"/>
      <c r="N98" s="33"/>
    </row>
    <row r="99" spans="1:14" x14ac:dyDescent="0.25">
      <c r="A99" t="s">
        <v>369</v>
      </c>
      <c r="B99" s="94" t="e">
        <f>'LCI_Ammonia_NG&amp;Biomethane'!H4/ParametersCalculation!B98</f>
        <v>#VALUE!</v>
      </c>
      <c r="C99" s="45" t="s">
        <v>517</v>
      </c>
      <c r="D99" s="21"/>
      <c r="E99" s="21"/>
      <c r="F99" s="21"/>
      <c r="G99" s="21"/>
      <c r="H99" s="21"/>
    </row>
    <row r="100" spans="1:14" x14ac:dyDescent="0.25">
      <c r="A100" t="s">
        <v>370</v>
      </c>
      <c r="B100" s="94" t="e">
        <f>('LCI_Ammonia_NG&amp;Biomethane'!H7*LCI_Heat!H4)/ParametersCalculation!B98</f>
        <v>#VALUE!</v>
      </c>
      <c r="C100" s="45" t="s">
        <v>517</v>
      </c>
    </row>
    <row r="101" spans="1:14" x14ac:dyDescent="0.25">
      <c r="A101" t="s">
        <v>377</v>
      </c>
      <c r="B101" s="15" t="e">
        <f>'LCI_Ammonia_NG&amp;Biomethane'!H13+'LCI_Ammonia_NG&amp;Biomethane'!H7*LCI_Heat!H7</f>
        <v>#VALUE!</v>
      </c>
    </row>
    <row r="102" spans="1:14" x14ac:dyDescent="0.25">
      <c r="A102" t="s">
        <v>376</v>
      </c>
      <c r="B102" s="15" t="e">
        <f>'LCI_Ammonia_NG&amp;Biomethane'!J13+'LCI_Ammonia_NG&amp;Biomethane'!J8*LCI_Heat!I7+LCI_Heat!I9*LCI_CCS!C12+'LCI_Ammonia_NG&amp;Biomethane'!J20*0.384</f>
        <v>#VALUE!</v>
      </c>
    </row>
    <row r="104" spans="1:14" x14ac:dyDescent="0.25">
      <c r="A104" t="s">
        <v>373</v>
      </c>
      <c r="B104">
        <v>2.5</v>
      </c>
      <c r="C104" t="s">
        <v>374</v>
      </c>
    </row>
  </sheetData>
  <mergeCells count="16">
    <mergeCell ref="B77:E77"/>
    <mergeCell ref="B60:E60"/>
    <mergeCell ref="B33:G33"/>
    <mergeCell ref="B49:G49"/>
    <mergeCell ref="B50:G50"/>
    <mergeCell ref="B76:E76"/>
    <mergeCell ref="B74:E74"/>
    <mergeCell ref="B47:G47"/>
    <mergeCell ref="B36:G36"/>
    <mergeCell ref="B54:E54"/>
    <mergeCell ref="B23:G23"/>
    <mergeCell ref="B30:G30"/>
    <mergeCell ref="B66:E66"/>
    <mergeCell ref="B7:G7"/>
    <mergeCell ref="B18:G18"/>
    <mergeCell ref="B12:G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LCI_Biogas</vt:lpstr>
      <vt:lpstr>LCI_Upgrading</vt:lpstr>
      <vt:lpstr>LCI_BiomethaneMarket</vt:lpstr>
      <vt:lpstr>LCI_Heat</vt:lpstr>
      <vt:lpstr>LCI_Ammonia_NG&amp;Biomethane</vt:lpstr>
      <vt:lpstr>LCI_Ammonia_Electrolysis</vt:lpstr>
      <vt:lpstr>LCI_CCS</vt:lpstr>
      <vt:lpstr>LCI_DAC</vt:lpstr>
      <vt:lpstr>ParametersCalculation</vt:lpstr>
      <vt:lpstr>MethaneLeakageRange</vt:lpstr>
      <vt:lpstr>GasesProperties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2024-10-07T18:51:56Z</dcterms:modified>
</cp:coreProperties>
</file>