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filterPrivacy="1"/>
  <xr:revisionPtr revIDLastSave="0" documentId="13_ncr:1_{22F797BB-15DD-4FF5-850E-38AB5B1A8A68}" xr6:coauthVersionLast="36" xr6:coauthVersionMax="36" xr10:uidLastSave="{00000000-0000-0000-0000-000000000000}"/>
  <bookViews>
    <workbookView xWindow="0" yWindow="0" windowWidth="11717" windowHeight="4140" activeTab="4" xr2:uid="{00000000-000D-0000-FFFF-FFFF00000000}"/>
  </bookViews>
  <sheets>
    <sheet name="Carrying_capacities" sheetId="4" r:id="rId1"/>
    <sheet name="Carbon_budget_IPCC" sheetId="1" r:id="rId2"/>
    <sheet name="Carbon_budget_literature" sheetId="3" r:id="rId3"/>
    <sheet name="Population_UP" sheetId="2" r:id="rId4"/>
    <sheet name="GWP_per_capita" sheetId="6" r:id="rId5"/>
    <sheet name="References"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E13" i="3" l="1"/>
  <c r="G13" i="3" s="1"/>
  <c r="B6" i="6" l="1"/>
  <c r="B3" i="6"/>
  <c r="B4" i="6" s="1"/>
  <c r="B7" i="6" l="1"/>
  <c r="B12" i="6"/>
  <c r="C18" i="1"/>
  <c r="F8" i="3" l="1"/>
  <c r="G8" i="3" s="1"/>
  <c r="F7" i="3"/>
  <c r="G7" i="3" s="1"/>
  <c r="F5" i="3"/>
  <c r="K14" i="4" l="1"/>
  <c r="L14" i="4"/>
  <c r="M14" i="4"/>
  <c r="J14" i="4"/>
  <c r="K13" i="4"/>
  <c r="L13" i="4"/>
  <c r="M13" i="4"/>
  <c r="J13" i="4"/>
  <c r="K12" i="4"/>
  <c r="L12" i="4"/>
  <c r="M12" i="4"/>
  <c r="J12" i="4"/>
  <c r="K9" i="4"/>
  <c r="L9" i="4"/>
  <c r="M9" i="4"/>
  <c r="J9" i="4"/>
  <c r="H3" i="4"/>
  <c r="M8" i="4" s="1"/>
  <c r="G3" i="4"/>
  <c r="L7" i="4" s="1"/>
  <c r="F3" i="4"/>
  <c r="K5" i="4" s="1"/>
  <c r="E3" i="4"/>
  <c r="J4" i="4" s="1"/>
  <c r="J17" i="4" l="1"/>
  <c r="M18" i="4"/>
  <c r="L18" i="4"/>
  <c r="M10" i="4"/>
  <c r="M17" i="4"/>
  <c r="L17" i="4"/>
  <c r="J18" i="4"/>
  <c r="K18" i="4"/>
  <c r="M5" i="4"/>
  <c r="K17" i="4"/>
  <c r="M4" i="4"/>
  <c r="J10" i="4"/>
  <c r="L10" i="4"/>
  <c r="K10" i="4"/>
  <c r="L4" i="4"/>
  <c r="K4" i="4"/>
  <c r="L8" i="4"/>
  <c r="K8" i="4"/>
  <c r="J8" i="4"/>
  <c r="L5" i="4"/>
  <c r="M6" i="4"/>
  <c r="L6" i="4"/>
  <c r="K6" i="4"/>
  <c r="J6" i="4"/>
  <c r="M7" i="4"/>
  <c r="K7" i="4"/>
  <c r="J7" i="4"/>
  <c r="J5" i="4"/>
  <c r="C3" i="4"/>
  <c r="F10" i="3"/>
  <c r="G10" i="3" s="1"/>
  <c r="E10" i="3"/>
  <c r="C16" i="4"/>
  <c r="C15" i="4"/>
  <c r="K15" i="4" l="1"/>
  <c r="L15" i="4"/>
  <c r="M15" i="4"/>
  <c r="J15" i="4"/>
  <c r="L16" i="4"/>
  <c r="M16" i="4"/>
  <c r="J16" i="4"/>
  <c r="K16" i="4"/>
  <c r="C11" i="4"/>
  <c r="L11" i="4" l="1"/>
  <c r="M11" i="4"/>
  <c r="J11" i="4"/>
  <c r="K11" i="4"/>
  <c r="E5" i="3" l="1"/>
  <c r="F11" i="3"/>
  <c r="F9" i="3"/>
  <c r="F3" i="3"/>
  <c r="G5" i="3" l="1"/>
  <c r="B9" i="1"/>
  <c r="E15" i="1" s="1"/>
  <c r="G11" i="3"/>
  <c r="E11" i="3"/>
  <c r="G9" i="3"/>
  <c r="E9" i="3"/>
  <c r="G3" i="3"/>
  <c r="E3" i="3"/>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1" i="1"/>
  <c r="F99" i="1" l="1"/>
  <c r="G99" i="1" s="1"/>
  <c r="G15" i="1"/>
  <c r="C16" i="1"/>
  <c r="F83" i="1"/>
  <c r="G83" i="1" s="1"/>
  <c r="F92" i="1"/>
  <c r="G92" i="1" s="1"/>
  <c r="F32" i="1"/>
  <c r="G32" i="1" s="1"/>
  <c r="F86" i="1"/>
  <c r="G86" i="1" s="1"/>
  <c r="F15" i="1"/>
  <c r="F25" i="1"/>
  <c r="G25" i="1" s="1"/>
  <c r="F41" i="1"/>
  <c r="G41" i="1" s="1"/>
  <c r="F57" i="1"/>
  <c r="G57" i="1" s="1"/>
  <c r="F73" i="1"/>
  <c r="G73" i="1" s="1"/>
  <c r="F89" i="1"/>
  <c r="G89" i="1" s="1"/>
  <c r="F38" i="1"/>
  <c r="G38" i="1" s="1"/>
  <c r="D16" i="1"/>
  <c r="F48" i="1"/>
  <c r="G48" i="1" s="1"/>
  <c r="F64" i="1"/>
  <c r="G64" i="1" s="1"/>
  <c r="F80" i="1"/>
  <c r="G80" i="1" s="1"/>
  <c r="F96" i="1"/>
  <c r="G96" i="1" s="1"/>
  <c r="E16" i="1"/>
  <c r="F29" i="1"/>
  <c r="G29" i="1" s="1"/>
  <c r="F45" i="1"/>
  <c r="G45" i="1" s="1"/>
  <c r="F61" i="1"/>
  <c r="G61" i="1" s="1"/>
  <c r="F77" i="1"/>
  <c r="G77" i="1" s="1"/>
  <c r="F93" i="1"/>
  <c r="G93" i="1" s="1"/>
  <c r="F54" i="1"/>
  <c r="G54" i="1" s="1"/>
  <c r="F16" i="1"/>
  <c r="F26" i="1"/>
  <c r="G26" i="1" s="1"/>
  <c r="F42" i="1"/>
  <c r="G42" i="1" s="1"/>
  <c r="F58" i="1"/>
  <c r="G58" i="1" s="1"/>
  <c r="F74" i="1"/>
  <c r="G74" i="1" s="1"/>
  <c r="F90" i="1"/>
  <c r="G90" i="1" s="1"/>
  <c r="F35" i="1"/>
  <c r="G35" i="1" s="1"/>
  <c r="G16" i="1"/>
  <c r="F23" i="1"/>
  <c r="G23" i="1" s="1"/>
  <c r="F39" i="1"/>
  <c r="G39" i="1" s="1"/>
  <c r="F55" i="1"/>
  <c r="G55" i="1" s="1"/>
  <c r="F71" i="1"/>
  <c r="G71" i="1" s="1"/>
  <c r="F87" i="1"/>
  <c r="G87" i="1" s="1"/>
  <c r="F36" i="1"/>
  <c r="G36" i="1" s="1"/>
  <c r="F52" i="1"/>
  <c r="G52" i="1" s="1"/>
  <c r="F68" i="1"/>
  <c r="G68" i="1" s="1"/>
  <c r="F84" i="1"/>
  <c r="G84" i="1" s="1"/>
  <c r="F100" i="1"/>
  <c r="G100" i="1" s="1"/>
  <c r="F70" i="1"/>
  <c r="G70" i="1" s="1"/>
  <c r="F51" i="1"/>
  <c r="G51" i="1" s="1"/>
  <c r="C14" i="1"/>
  <c r="C19" i="1"/>
  <c r="F33" i="1"/>
  <c r="G33" i="1" s="1"/>
  <c r="F49" i="1"/>
  <c r="G49" i="1" s="1"/>
  <c r="F65" i="1"/>
  <c r="G65" i="1" s="1"/>
  <c r="F81" i="1"/>
  <c r="G81" i="1" s="1"/>
  <c r="F97" i="1"/>
  <c r="G97" i="1" s="1"/>
  <c r="D14" i="1"/>
  <c r="F30" i="1"/>
  <c r="G30" i="1" s="1"/>
  <c r="F46" i="1"/>
  <c r="G46" i="1" s="1"/>
  <c r="F62" i="1"/>
  <c r="G62" i="1" s="1"/>
  <c r="F78" i="1"/>
  <c r="G78" i="1" s="1"/>
  <c r="F94" i="1"/>
  <c r="G94" i="1" s="1"/>
  <c r="E14" i="1"/>
  <c r="F27" i="1"/>
  <c r="G27" i="1" s="1"/>
  <c r="F43" i="1"/>
  <c r="G43" i="1" s="1"/>
  <c r="F59" i="1"/>
  <c r="G59" i="1" s="1"/>
  <c r="F75" i="1"/>
  <c r="G75" i="1" s="1"/>
  <c r="F91" i="1"/>
  <c r="G91" i="1" s="1"/>
  <c r="F67" i="1"/>
  <c r="G67" i="1" s="1"/>
  <c r="F14" i="1"/>
  <c r="F24" i="1"/>
  <c r="G24" i="1" s="1"/>
  <c r="F40" i="1"/>
  <c r="G40" i="1" s="1"/>
  <c r="F56" i="1"/>
  <c r="G56" i="1" s="1"/>
  <c r="F72" i="1"/>
  <c r="G72" i="1" s="1"/>
  <c r="F88" i="1"/>
  <c r="G88" i="1" s="1"/>
  <c r="G14" i="1"/>
  <c r="F21" i="1"/>
  <c r="G21" i="1" s="1"/>
  <c r="F37" i="1"/>
  <c r="G37" i="1" s="1"/>
  <c r="F53" i="1"/>
  <c r="G53" i="1" s="1"/>
  <c r="F69" i="1"/>
  <c r="G69" i="1" s="1"/>
  <c r="F85" i="1"/>
  <c r="G85" i="1" s="1"/>
  <c r="F101" i="1"/>
  <c r="G101" i="1" s="1"/>
  <c r="F22" i="1"/>
  <c r="G22" i="1" s="1"/>
  <c r="C15" i="1"/>
  <c r="F34" i="1"/>
  <c r="G34" i="1" s="1"/>
  <c r="F50" i="1"/>
  <c r="G50" i="1" s="1"/>
  <c r="F66" i="1"/>
  <c r="G66" i="1" s="1"/>
  <c r="F82" i="1"/>
  <c r="G82" i="1" s="1"/>
  <c r="F98" i="1"/>
  <c r="G98" i="1" s="1"/>
  <c r="D15" i="1"/>
  <c r="F31" i="1"/>
  <c r="G31" i="1" s="1"/>
  <c r="F47" i="1"/>
  <c r="G47" i="1" s="1"/>
  <c r="F63" i="1"/>
  <c r="G63" i="1" s="1"/>
  <c r="F79" i="1"/>
  <c r="G79" i="1" s="1"/>
  <c r="F95" i="1"/>
  <c r="G95" i="1" s="1"/>
  <c r="F28" i="1"/>
  <c r="G28" i="1" s="1"/>
  <c r="F44" i="1"/>
  <c r="G44" i="1" s="1"/>
  <c r="F60" i="1"/>
  <c r="G60" i="1" s="1"/>
  <c r="F76" i="1"/>
  <c r="G76" i="1" s="1"/>
  <c r="K3" i="4" l="1"/>
  <c r="L3" i="4"/>
  <c r="M3" i="4"/>
  <c r="J3" i="4"/>
  <c r="D86" i="1"/>
  <c r="E86" i="1" s="1"/>
  <c r="D70" i="1"/>
  <c r="E70" i="1" s="1"/>
  <c r="D54" i="1"/>
  <c r="E54" i="1" s="1"/>
  <c r="D38" i="1"/>
  <c r="E38" i="1" s="1"/>
  <c r="D22" i="1"/>
  <c r="E22" i="1" s="1"/>
  <c r="D89" i="1"/>
  <c r="E89" i="1" s="1"/>
  <c r="D73" i="1"/>
  <c r="E73" i="1" s="1"/>
  <c r="D57" i="1"/>
  <c r="E57" i="1" s="1"/>
  <c r="D41" i="1"/>
  <c r="E41" i="1" s="1"/>
  <c r="D25" i="1"/>
  <c r="E25" i="1" s="1"/>
  <c r="D61" i="1"/>
  <c r="E61" i="1" s="1"/>
  <c r="D45" i="1"/>
  <c r="E45" i="1" s="1"/>
  <c r="D96" i="1"/>
  <c r="E96" i="1" s="1"/>
  <c r="D92" i="1"/>
  <c r="E92" i="1" s="1"/>
  <c r="D76" i="1"/>
  <c r="E76" i="1" s="1"/>
  <c r="D60" i="1"/>
  <c r="E60" i="1" s="1"/>
  <c r="D44" i="1"/>
  <c r="E44" i="1" s="1"/>
  <c r="D28" i="1"/>
  <c r="E28" i="1" s="1"/>
  <c r="D95" i="1"/>
  <c r="E95" i="1" s="1"/>
  <c r="D79" i="1"/>
  <c r="E79" i="1" s="1"/>
  <c r="D63" i="1"/>
  <c r="E63" i="1" s="1"/>
  <c r="D47" i="1"/>
  <c r="E47" i="1" s="1"/>
  <c r="D31" i="1"/>
  <c r="E31" i="1" s="1"/>
  <c r="D98" i="1"/>
  <c r="E98" i="1" s="1"/>
  <c r="D82" i="1"/>
  <c r="E82" i="1" s="1"/>
  <c r="D66" i="1"/>
  <c r="E66" i="1" s="1"/>
  <c r="D50" i="1"/>
  <c r="E50" i="1" s="1"/>
  <c r="D34" i="1"/>
  <c r="E34" i="1" s="1"/>
  <c r="D80" i="1"/>
  <c r="E80" i="1" s="1"/>
  <c r="D48" i="1"/>
  <c r="E48" i="1" s="1"/>
  <c r="D101" i="1"/>
  <c r="E101" i="1" s="1"/>
  <c r="D85" i="1"/>
  <c r="E85" i="1" s="1"/>
  <c r="D69" i="1"/>
  <c r="E69" i="1" s="1"/>
  <c r="D53" i="1"/>
  <c r="E53" i="1" s="1"/>
  <c r="D37" i="1"/>
  <c r="E37" i="1" s="1"/>
  <c r="D21" i="1"/>
  <c r="E21" i="1" s="1"/>
  <c r="D29" i="1"/>
  <c r="E29" i="1" s="1"/>
  <c r="D88" i="1"/>
  <c r="E88" i="1" s="1"/>
  <c r="D72" i="1"/>
  <c r="E72" i="1" s="1"/>
  <c r="D56" i="1"/>
  <c r="E56" i="1" s="1"/>
  <c r="D40" i="1"/>
  <c r="E40" i="1" s="1"/>
  <c r="D24" i="1"/>
  <c r="E24" i="1" s="1"/>
  <c r="D91" i="1"/>
  <c r="E91" i="1" s="1"/>
  <c r="D75" i="1"/>
  <c r="E75" i="1" s="1"/>
  <c r="D59" i="1"/>
  <c r="E59" i="1" s="1"/>
  <c r="D43" i="1"/>
  <c r="E43" i="1" s="1"/>
  <c r="D27" i="1"/>
  <c r="E27" i="1" s="1"/>
  <c r="D94" i="1"/>
  <c r="E94" i="1" s="1"/>
  <c r="D78" i="1"/>
  <c r="E78" i="1" s="1"/>
  <c r="D62" i="1"/>
  <c r="E62" i="1" s="1"/>
  <c r="D46" i="1"/>
  <c r="E46" i="1" s="1"/>
  <c r="D30" i="1"/>
  <c r="E30" i="1" s="1"/>
  <c r="D32" i="1"/>
  <c r="E32" i="1" s="1"/>
  <c r="D97" i="1"/>
  <c r="E97" i="1" s="1"/>
  <c r="D81" i="1"/>
  <c r="E81" i="1" s="1"/>
  <c r="D65" i="1"/>
  <c r="E65" i="1" s="1"/>
  <c r="D49" i="1"/>
  <c r="E49" i="1" s="1"/>
  <c r="D33" i="1"/>
  <c r="E33" i="1" s="1"/>
  <c r="D100" i="1"/>
  <c r="E100" i="1" s="1"/>
  <c r="D84" i="1"/>
  <c r="E84" i="1" s="1"/>
  <c r="D68" i="1"/>
  <c r="E68" i="1" s="1"/>
  <c r="D52" i="1"/>
  <c r="E52" i="1" s="1"/>
  <c r="D36" i="1"/>
  <c r="E36" i="1" s="1"/>
  <c r="D93" i="1"/>
  <c r="E93" i="1" s="1"/>
  <c r="D87" i="1"/>
  <c r="E87" i="1" s="1"/>
  <c r="D71" i="1"/>
  <c r="E71" i="1" s="1"/>
  <c r="D55" i="1"/>
  <c r="E55" i="1" s="1"/>
  <c r="D39" i="1"/>
  <c r="E39" i="1" s="1"/>
  <c r="D23" i="1"/>
  <c r="E23" i="1" s="1"/>
  <c r="D64" i="1"/>
  <c r="E64" i="1" s="1"/>
  <c r="D90" i="1"/>
  <c r="E90" i="1" s="1"/>
  <c r="D74" i="1"/>
  <c r="E74" i="1" s="1"/>
  <c r="D58" i="1"/>
  <c r="E58" i="1" s="1"/>
  <c r="D42" i="1"/>
  <c r="E42" i="1" s="1"/>
  <c r="D26" i="1"/>
  <c r="E26" i="1" s="1"/>
  <c r="D99" i="1"/>
  <c r="E99" i="1" s="1"/>
  <c r="D83" i="1"/>
  <c r="E83" i="1" s="1"/>
  <c r="D67" i="1"/>
  <c r="E67" i="1" s="1"/>
  <c r="D51" i="1"/>
  <c r="E51" i="1" s="1"/>
  <c r="D35" i="1"/>
  <c r="E35" i="1" s="1"/>
  <c r="D77" i="1"/>
  <c r="E77" i="1" s="1"/>
  <c r="G103" i="1"/>
  <c r="E103" i="1" l="1"/>
</calcChain>
</file>

<file path=xl/sharedStrings.xml><?xml version="1.0" encoding="utf-8"?>
<sst xmlns="http://schemas.openxmlformats.org/spreadsheetml/2006/main" count="205" uniqueCount="150">
  <si>
    <t>Remaining CO2 emissions budget 2020-2100</t>
  </si>
  <si>
    <t>Likelihood of limiting global warming to temperature limit</t>
  </si>
  <si>
    <t>Gt CO2</t>
  </si>
  <si>
    <t>T limit</t>
  </si>
  <si>
    <t>Cumulative global population 2020-2100</t>
  </si>
  <si>
    <t>PB per capita</t>
  </si>
  <si>
    <t>Gt CO2 accum.</t>
  </si>
  <si>
    <t>Gt CO2/year (81 years)</t>
  </si>
  <si>
    <t>Year</t>
  </si>
  <si>
    <t>Population</t>
  </si>
  <si>
    <t>Per capita dynamic</t>
  </si>
  <si>
    <t>Gt CO2/year | per capita dynamic</t>
  </si>
  <si>
    <t>Per capita static</t>
  </si>
  <si>
    <t>Gt CO2/year | per capita static</t>
  </si>
  <si>
    <t>Population (thousands)</t>
  </si>
  <si>
    <t>reference</t>
  </si>
  <si>
    <t>GHG budget (Gt CO2)</t>
  </si>
  <si>
    <t>Time horizon</t>
  </si>
  <si>
    <t>Global PB (Gt CO2/year)</t>
  </si>
  <si>
    <t>Comments</t>
  </si>
  <si>
    <t>Nykvist et al. 2013</t>
  </si>
  <si>
    <t>2000-2100</t>
  </si>
  <si>
    <t>Björn et al. 2015</t>
  </si>
  <si>
    <t>NA</t>
  </si>
  <si>
    <t>Ryberg et al. 2018</t>
  </si>
  <si>
    <t>2000-2300</t>
  </si>
  <si>
    <t>Assuming stable population between 2100 and 2300</t>
  </si>
  <si>
    <t>O'Neill et al. 2018</t>
  </si>
  <si>
    <t>Dao et al. 2018</t>
  </si>
  <si>
    <t>2015-2100</t>
  </si>
  <si>
    <t>The current global budget for 2015 for a 50% chance to stay below a 2ºC increase by 2100 compared with pre-industrial level is 1,315.6 Gt CO2eq. This amount was divided by the cumulative global population between 2015 and 2100. In the original article, the authors assumed stable population between 2050 and 2100. This value was corrected with data from UNEP</t>
  </si>
  <si>
    <t>Sala et al. 2020</t>
  </si>
  <si>
    <t>World population for 2010. Based on Björn et al. 2015</t>
  </si>
  <si>
    <r>
      <t xml:space="preserve">Nykvist et al. </t>
    </r>
    <r>
      <rPr>
        <b/>
        <sz val="11"/>
        <color theme="1"/>
        <rFont val="Calibri"/>
        <family val="2"/>
        <scheme val="minor"/>
      </rPr>
      <t>2013</t>
    </r>
    <r>
      <rPr>
        <sz val="11"/>
        <color theme="1"/>
        <rFont val="Calibri"/>
        <family val="2"/>
        <scheme val="minor"/>
      </rPr>
      <t>, Swedish Environmental Protection Agency, Report 6576</t>
    </r>
  </si>
  <si>
    <r>
      <t xml:space="preserve">Björn et al. </t>
    </r>
    <r>
      <rPr>
        <b/>
        <i/>
        <sz val="10.5"/>
        <color rgb="FF000000"/>
        <rFont val="Calibri"/>
        <family val="2"/>
        <scheme val="minor"/>
      </rPr>
      <t>2015</t>
    </r>
    <r>
      <rPr>
        <i/>
        <sz val="10.5"/>
        <color rgb="FF000000"/>
        <rFont val="Calibri"/>
        <family val="2"/>
        <scheme val="minor"/>
      </rPr>
      <t xml:space="preserve">, </t>
    </r>
    <r>
      <rPr>
        <sz val="10.5"/>
        <color rgb="FF000000"/>
        <rFont val="Calibri"/>
        <family val="2"/>
        <scheme val="minor"/>
      </rPr>
      <t>Int J Life Cycle Assess 20, 1005-1018</t>
    </r>
  </si>
  <si>
    <r>
      <t xml:space="preserve">Ryberg et al. </t>
    </r>
    <r>
      <rPr>
        <b/>
        <i/>
        <sz val="10.5"/>
        <color rgb="FF000000"/>
        <rFont val="Calibri"/>
        <family val="2"/>
        <scheme val="minor"/>
      </rPr>
      <t>2018</t>
    </r>
    <r>
      <rPr>
        <sz val="10.5"/>
        <color rgb="FF000000"/>
        <rFont val="Calibri"/>
        <family val="2"/>
        <scheme val="minor"/>
      </rPr>
      <t>, Ecol. Indic. 88, 250-262</t>
    </r>
  </si>
  <si>
    <r>
      <t xml:space="preserve">O’Neill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Nat. Sustain. 1, 88-95</t>
    </r>
  </si>
  <si>
    <r>
      <t xml:space="preserve">Dao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Glob. Environ. Change 52, 49-57</t>
    </r>
  </si>
  <si>
    <r>
      <t xml:space="preserve">Sala et al. </t>
    </r>
    <r>
      <rPr>
        <b/>
        <i/>
        <sz val="10.5"/>
        <color rgb="FF000000"/>
        <rFont val="Calibri"/>
        <family val="2"/>
        <scheme val="minor"/>
      </rPr>
      <t>2020</t>
    </r>
    <r>
      <rPr>
        <sz val="10.5"/>
        <color rgb="FF000000"/>
        <rFont val="Calibri"/>
        <family val="2"/>
        <scheme val="minor"/>
      </rPr>
      <t>, J. Environ. Manage 269, 110686</t>
    </r>
  </si>
  <si>
    <t>units</t>
  </si>
  <si>
    <t>kg CO2 per capita per year</t>
  </si>
  <si>
    <t>kg CO2 eq per capita per year</t>
  </si>
  <si>
    <t>-</t>
  </si>
  <si>
    <r>
      <t xml:space="preserve">European Environment Agency </t>
    </r>
    <r>
      <rPr>
        <b/>
        <i/>
        <sz val="11"/>
        <color theme="1"/>
        <rFont val="Calibri"/>
        <family val="2"/>
        <scheme val="minor"/>
      </rPr>
      <t>2020</t>
    </r>
    <r>
      <rPr>
        <sz val="11"/>
        <color theme="1"/>
        <rFont val="Calibri"/>
        <family val="2"/>
        <scheme val="minor"/>
      </rPr>
      <t>, Luxembourg: Publications Office of the European Union, doi:10.2800/890673</t>
    </r>
  </si>
  <si>
    <t>Climate change - CO2 concentration [budget over time]</t>
  </si>
  <si>
    <t>Population (cumulative or yearly)</t>
  </si>
  <si>
    <t>Fang et al. 2015</t>
  </si>
  <si>
    <t>Hoff et al. 2014</t>
  </si>
  <si>
    <t>Based on Nykvist et al. 2013</t>
  </si>
  <si>
    <r>
      <t xml:space="preserve">Faning et al. </t>
    </r>
    <r>
      <rPr>
        <b/>
        <i/>
        <sz val="10.5"/>
        <color rgb="FF000000"/>
        <rFont val="Calibri"/>
        <family val="2"/>
        <scheme val="minor"/>
      </rPr>
      <t>2022</t>
    </r>
    <r>
      <rPr>
        <sz val="10.5"/>
        <color rgb="FF000000"/>
        <rFont val="Calibri"/>
        <family val="2"/>
        <scheme val="minor"/>
      </rPr>
      <t>, Nat. Sustain. 5, 26-36</t>
    </r>
  </si>
  <si>
    <t>Climate change</t>
  </si>
  <si>
    <t>Acidification</t>
  </si>
  <si>
    <t>Eutrophication, freshwater</t>
  </si>
  <si>
    <t>Eutrophication, marine</t>
  </si>
  <si>
    <t>Eutrophication, terrestrial</t>
  </si>
  <si>
    <t>Photochemical ozone formation</t>
  </si>
  <si>
    <t>Particulate matter</t>
  </si>
  <si>
    <t>Ozone depletion</t>
  </si>
  <si>
    <t>Ecotoxicity, freshwater</t>
  </si>
  <si>
    <t>CTUe</t>
  </si>
  <si>
    <t>Human toxicity, carcinogenic</t>
  </si>
  <si>
    <t>Human toxicity, non-carcinogenic</t>
  </si>
  <si>
    <t>Ionising radiation</t>
  </si>
  <si>
    <t>Resource use, fossils</t>
  </si>
  <si>
    <t>Resource use, mineral and metals</t>
  </si>
  <si>
    <t>Land use</t>
  </si>
  <si>
    <t>Water use</t>
  </si>
  <si>
    <t>impact_category</t>
  </si>
  <si>
    <t>data_source_and_assumptions</t>
  </si>
  <si>
    <t>value</t>
  </si>
  <si>
    <t>DALY/person/year</t>
  </si>
  <si>
    <t>disease incidence/person/year</t>
  </si>
  <si>
    <t>CTUh/person/year</t>
  </si>
  <si>
    <t>kBq U-235-eq/person/year</t>
  </si>
  <si>
    <t>kg NMVOC-eq/person/year</t>
  </si>
  <si>
    <t>kg NMVOC-eq/year</t>
  </si>
  <si>
    <t>CTUe/person/year</t>
  </si>
  <si>
    <t>kg CFC-11-eq/year</t>
  </si>
  <si>
    <t>kg CFC-11-eq/person/year</t>
  </si>
  <si>
    <t>Rockström et al. (2009) proposed a PB of 5-10% decrease in ozone levels with respect to 1964-1980 values. Björn et al. (2015) adopted a treshold of 7.5% decrease in ozone levels (medium value) and converted it to a carrying capacity expressed in kg CFC-11-eq/year based on a model that calculates the sustained CFC-11-eq emissions that would lead to a 7.5% decrease in ozone levels at steady state. This resulted in a global carrying capacity of 5.4E+08 kg CFC-11-eq/year, which we divided by the global population in 2020</t>
  </si>
  <si>
    <t>kg P-eq/year</t>
  </si>
  <si>
    <t>kg N-eq/year</t>
  </si>
  <si>
    <t>kg P-eq/person/year</t>
  </si>
  <si>
    <t>kg N-eq/person/year</t>
  </si>
  <si>
    <t>Carrying capacity based on the threshold HC5(NOEC) which is the concentration at which maximum 5% of species in an ecosystem are affected (Björn et al., 2015). The global carrying capacity calculated by Björn et al. (2015) was divided by the global population in 2020 to estimate the per capita limit</t>
  </si>
  <si>
    <t>Björn et al. (2015) chose a threshold of 0.3 mg Ptot/L for freshwater, as concentrations above this value are considered a potential cause of encroachment of aquatic life due to nutrient enrichement, and 1.75 mg Ntot/L for marine environments, based on literature review of N-limited aquatic environments. The concentration thresholds were converted to carrying capacity by linking a marginal emissions increase (in kg per year) to a steady state concentration increase (in kg of P or N per m3) and substracting the natural flows. This resulted in global carrying capacities of 5.78E+09 kg P-eq/year for freshwater eutrophication and 2.02E+11 kg N-eq/year for marine eutrophication. We divided these values by the global population in 2020</t>
  </si>
  <si>
    <t>kg soil loss</t>
  </si>
  <si>
    <t>kg soil loss/person/year</t>
  </si>
  <si>
    <t>The carrying capacity of 1.27E+13 kg soil loss/year defined in Sala et al. (2020) was divided by the global population in 2020</t>
  </si>
  <si>
    <t>m3 world-eq/person/year</t>
  </si>
  <si>
    <t>m3 world-eq/year</t>
  </si>
  <si>
    <t>The carrying capacity of 1.82E+14 m3 world-eq/year defined in Sala et al. (2020) was divided by the global population in 2020. The same carrying capacity was used since the same characterization factors has been used in EF2.0 and EF3.0</t>
  </si>
  <si>
    <t>MJ/person/year</t>
  </si>
  <si>
    <t>kg Sb-eq/person/year</t>
  </si>
  <si>
    <t>The limits for resource use were calculated in Sala et al. (2020) by applying the concept of Factor 2 to the global normalization references under the premise that a reduction in material consumption by a factor 2 (namely 50%) at the global level is needed to achieve environmental sustainability. The normalisation references express the total global resources use in a reference year</t>
  </si>
  <si>
    <t>MJ/year</t>
  </si>
  <si>
    <t>kg Sb-eq/year</t>
  </si>
  <si>
    <t>kg CO2-eq over 2020-2100</t>
  </si>
  <si>
    <t>kg CO2-eq/person/year</t>
  </si>
  <si>
    <t>mol H+-eq/year</t>
  </si>
  <si>
    <t>mol H+-eq/person/year</t>
  </si>
  <si>
    <t>EF2.0 (Sala et al., 2019)</t>
  </si>
  <si>
    <t>Carrying capacity based on the PM concentration level defined by the World Health Organization (WHO) to ensure a healthy environment (i.e., 10 μg of PM2.5/m3). Vargas-Gonzalez et al. (2019) assumed that a normal person may inhale 1.23 x 10-4 kg of PM per year and that the corresponding burden of PM2.5 is 78 DALY/kg to estimate that 0.0016 DALY/person/year can be acceptable. The conversion factor for DALYs to EF3.0 units (disease incidence; 21.4) was the same as in Sala et al. (2019) since the same characterization factor for the elementary flow PM2.5 to air has been used in EF2.0 and EF3.0</t>
  </si>
  <si>
    <t>Vargas-Gonzalez et al. (2019) used the same threshold accross all human health-related impact categories (i.e., 0.0016 DALY/person/year). We adopted the conversion factors proposed by Vargas-Gonzalez et al. (2019) and used in Sala et al. (2020) to convert from DALYs to EF units (CTUh; 11.5 for human toxicity, carcinogenic and 2.7 for human toxicity, non-carcinogenic; kBq U-235-eq; 2.1e-08 for ionising radiation)</t>
  </si>
  <si>
    <t>mol N-eq/year</t>
  </si>
  <si>
    <t>mol N-eq/person/year</t>
  </si>
  <si>
    <t>Threshold for terrestrial eutrophication was defined in Björn et al. (2015) based on the critical load concept, i.e. the highest deposition of nitrogen as NHx and/or NOy below which harmful effects in ecosystem structure and function do not occur according to present knowledge. The global critical load was calculated at 1,340 mol N-eq/ha/year, from which natural depositions (70 mol N-eq/ha/year) have no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</si>
  <si>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carrying_capacity</t>
  </si>
  <si>
    <t>A European carrying capacity of 4.07E+11 kg NMVOC-eq/year was recalculated in Sala et al. (2020) based on the previous calculations by Björn et al. (2015). We used the same carrying capacity as in Sala et al. (2020) since the same characterization factors has been used in EF2.0 and EF3.0, but we used the global population in 2020</t>
  </si>
  <si>
    <t>2011-2100</t>
  </si>
  <si>
    <t>type</t>
  </si>
  <si>
    <t>cumulative_global</t>
  </si>
  <si>
    <t>annual_global</t>
  </si>
  <si>
    <t>annual_personal</t>
  </si>
  <si>
    <t>personal_carrying_capacity</t>
  </si>
  <si>
    <t>pop_2020</t>
  </si>
  <si>
    <t>pop_2030</t>
  </si>
  <si>
    <t>pop_2040</t>
  </si>
  <si>
    <t>pop_2050</t>
  </si>
  <si>
    <t>global_population</t>
  </si>
  <si>
    <t>https://population.un.org/wpp/</t>
  </si>
  <si>
    <t>UN: World Population Prospects 2022</t>
  </si>
  <si>
    <t>EF3.0_2020</t>
  </si>
  <si>
    <t>EF3.0_2030</t>
  </si>
  <si>
    <t>EF3.0_2040</t>
  </si>
  <si>
    <t>EF3.0_2050</t>
  </si>
  <si>
    <t>Carrying capacity based on the carbon budget for a 67% chance of limiting global warming below 1.5°C above pre-industrial levels (see ''Carbon_budget_IPCC). Since the carbon budget is a cumulative amount over a time horizon and the equal share per capita approach was followed for sharing the carring capacities, the personal carbon budget is constant over time.</t>
  </si>
  <si>
    <t>Björn et al. 2018</t>
  </si>
  <si>
    <t>Assuming population for 2010</t>
  </si>
  <si>
    <t>They assumed yearly carbon budget and global population for 2050</t>
  </si>
  <si>
    <t>Hjalsted et al. 2021</t>
  </si>
  <si>
    <r>
      <t xml:space="preserve">Hjalsted et al. </t>
    </r>
    <r>
      <rPr>
        <b/>
        <i/>
        <sz val="10.5"/>
        <color rgb="FF000000"/>
        <rFont val="Calibri"/>
        <family val="2"/>
        <scheme val="minor"/>
      </rPr>
      <t>2021</t>
    </r>
    <r>
      <rPr>
        <sz val="10.5"/>
        <color rgb="FF000000"/>
        <rFont val="Calibri"/>
        <family val="2"/>
        <scheme val="minor"/>
      </rPr>
      <t xml:space="preserve"> Journal of Industrial Ecology 25, 6–19</t>
    </r>
  </si>
  <si>
    <t>PB based on the change in energy balance (radiative forcing). Reference to Björn et al. (2015)</t>
  </si>
  <si>
    <t>Threshold for acidification was defined in Björn et al. (2015) based on the critical load concept, i.e. the highest deposition of acidifying compounds that will not cause chemical changes leading to long-term harmful effects on ecosystem structure and function. The global critical load was calculated at 1,170 mol H+-eq/ha/year, from which natural depositions (90 mol H+-eq/ha/year) have to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</si>
  <si>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Gt CO2-eq/year</t>
  </si>
  <si>
    <t>Global net anthropogenic GHG emissions in 2019</t>
  </si>
  <si>
    <t xml:space="preserve">https://www.ipcc.ch/report/ar6/wg3/downloads/report/IPCC_AR6_WGIII_SPM.pdf </t>
  </si>
  <si>
    <t>Global population in 2019</t>
  </si>
  <si>
    <t>Population_UP!A1</t>
  </si>
  <si>
    <t>inhabitants</t>
  </si>
  <si>
    <t>Per capita</t>
  </si>
  <si>
    <t>kg CO2-eq per capita</t>
  </si>
  <si>
    <t>ICT sector emissions in 2020</t>
  </si>
  <si>
    <t>Lucas et al. 2020</t>
  </si>
  <si>
    <t>2018-2100</t>
  </si>
  <si>
    <r>
      <t xml:space="preserve">Lucas et al. </t>
    </r>
    <r>
      <rPr>
        <b/>
        <i/>
        <sz val="10.5"/>
        <color rgb="FF000000"/>
        <rFont val="Calibri"/>
        <family val="2"/>
        <scheme val="minor"/>
      </rPr>
      <t>2020</t>
    </r>
    <r>
      <rPr>
        <i/>
        <sz val="10.5"/>
        <color rgb="FF000000"/>
        <rFont val="Calibri"/>
        <family val="2"/>
        <scheme val="minor"/>
      </rPr>
      <t xml:space="preserve">, </t>
    </r>
    <r>
      <rPr>
        <sz val="10.5"/>
        <color rgb="FF000000"/>
        <rFont val="Calibri"/>
        <family val="2"/>
        <scheme val="minor"/>
      </rPr>
      <t>Glob. Environ. Change 60, 102017</t>
    </r>
  </si>
  <si>
    <t>Average carbon footprint digital content consumption</t>
  </si>
  <si>
    <t>kg CO2eq/capita/year</t>
  </si>
  <si>
    <t>Gt CO2eq/year</t>
  </si>
  <si>
    <t>Internet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</si>
</sst>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Arial"/>
      <family val="2"/>
    </font>
    <font>
      <sz val="10"/>
      <color theme="1"/>
      <name val="Arial"/>
      <family val="2"/>
    </font>
    <font>
      <sz val="10"/>
      <color theme="1"/>
      <name val="Calibri"/>
      <family val="2"/>
      <scheme val="minor"/>
    </font>
    <font>
      <sz val="10.5"/>
      <color rgb="FF000000"/>
      <name val="Calibri"/>
      <family val="2"/>
      <scheme val="minor"/>
    </font>
    <font>
      <b/>
      <i/>
      <sz val="10.5"/>
      <color rgb="FF000000"/>
      <name val="Calibri"/>
      <family val="2"/>
      <scheme val="minor"/>
    </font>
    <font>
      <i/>
      <sz val="10.5"/>
      <color rgb="FF000000"/>
      <name val="Calibri"/>
      <family val="2"/>
      <scheme val="minor"/>
    </font>
    <font>
      <b/>
      <i/>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27">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9" fontId="1" fillId="0" borderId="2" xfId="0" applyNumberFormat="1" applyFont="1" applyBorder="1"/>
    <xf numFmtId="10" fontId="0" fillId="0" borderId="0" xfId="0" applyNumberFormat="1"/>
    <xf numFmtId="0" fontId="1" fillId="0" borderId="2" xfId="0" applyFont="1" applyBorder="1" applyAlignment="1">
      <alignment horizontal="left"/>
    </xf>
    <xf numFmtId="164" fontId="1" fillId="0" borderId="2" xfId="0" applyNumberFormat="1" applyFont="1" applyBorder="1" applyAlignment="1">
      <alignment horizontal="left"/>
    </xf>
    <xf numFmtId="0" fontId="1" fillId="0" borderId="0" xfId="0" applyFont="1" applyAlignment="1"/>
    <xf numFmtId="3" fontId="0" fillId="0" borderId="0" xfId="0" applyNumberFormat="1" applyAlignment="1">
      <alignment horizontal="right" vertical="center"/>
    </xf>
    <xf numFmtId="0" fontId="2" fillId="0" borderId="0" xfId="0" applyFont="1" applyAlignment="1"/>
    <xf numFmtId="0" fontId="3" fillId="0" borderId="0" xfId="0" applyFont="1" applyAlignment="1">
      <alignment wrapText="1"/>
    </xf>
    <xf numFmtId="9" fontId="3" fillId="2" borderId="0" xfId="0" applyNumberFormat="1" applyFont="1" applyFill="1" applyBorder="1"/>
    <xf numFmtId="0" fontId="3" fillId="2" borderId="0" xfId="0" applyFont="1" applyFill="1" applyAlignment="1">
      <alignment horizontal="right"/>
    </xf>
    <xf numFmtId="3" fontId="4" fillId="0" borderId="2" xfId="0" applyNumberFormat="1" applyFont="1" applyBorder="1"/>
    <xf numFmtId="164" fontId="3" fillId="2" borderId="0" xfId="0" applyNumberFormat="1" applyFont="1" applyFill="1" applyAlignment="1">
      <alignment horizontal="right"/>
    </xf>
    <xf numFmtId="1" fontId="0" fillId="0" borderId="0" xfId="0" applyNumberFormat="1"/>
    <xf numFmtId="1" fontId="1" fillId="0" borderId="0" xfId="0" applyNumberFormat="1" applyFont="1"/>
    <xf numFmtId="2" fontId="1" fillId="0" borderId="0" xfId="0" applyNumberFormat="1" applyFont="1"/>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left"/>
    </xf>
    <xf numFmtId="3" fontId="5" fillId="0" borderId="0" xfId="0" applyNumberFormat="1" applyFont="1"/>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right" vertical="center"/>
    </xf>
    <xf numFmtId="3" fontId="0" fillId="0" borderId="2" xfId="0" applyNumberFormat="1" applyBorder="1" applyAlignment="1">
      <alignment horizontal="right"/>
    </xf>
    <xf numFmtId="4" fontId="0" fillId="0" borderId="2" xfId="0" applyNumberFormat="1" applyBorder="1" applyAlignment="1">
      <alignment horizontal="right"/>
    </xf>
    <xf numFmtId="3" fontId="0" fillId="0" borderId="2" xfId="0" applyNumberFormat="1" applyBorder="1" applyAlignment="1">
      <alignment vertical="top"/>
    </xf>
    <xf numFmtId="3" fontId="0" fillId="0" borderId="2" xfId="0" applyNumberFormat="1" applyBorder="1"/>
    <xf numFmtId="1" fontId="0" fillId="0" borderId="2" xfId="0" applyNumberFormat="1" applyBorder="1" applyAlignment="1">
      <alignment horizontal="right"/>
    </xf>
    <xf numFmtId="0" fontId="0" fillId="0" borderId="2" xfId="0" applyBorder="1" applyAlignment="1">
      <alignment vertical="top"/>
    </xf>
    <xf numFmtId="3" fontId="0" fillId="0" borderId="2" xfId="0" applyNumberFormat="1" applyBorder="1" applyAlignment="1">
      <alignment horizontal="right" vertical="top"/>
    </xf>
    <xf numFmtId="1" fontId="0" fillId="0" borderId="2" xfId="0" applyNumberFormat="1" applyBorder="1" applyAlignment="1">
      <alignment horizontal="right" vertical="top" wrapText="1"/>
    </xf>
    <xf numFmtId="0" fontId="0" fillId="0" borderId="0" xfId="0" applyAlignment="1">
      <alignment vertical="top"/>
    </xf>
    <xf numFmtId="0" fontId="0" fillId="0" borderId="3" xfId="0" applyFill="1" applyBorder="1"/>
    <xf numFmtId="0" fontId="6" fillId="0" borderId="0" xfId="0" applyFont="1" applyAlignment="1">
      <alignment horizontal="left" vertical="center" readingOrder="1"/>
    </xf>
    <xf numFmtId="11" fontId="0" fillId="0" borderId="0" xfId="0" applyNumberFormat="1"/>
    <xf numFmtId="0" fontId="0" fillId="0" borderId="0" xfId="0" applyNumberFormat="1"/>
    <xf numFmtId="0" fontId="6" fillId="0" borderId="0" xfId="0" applyFont="1" applyFill="1" applyBorder="1" applyAlignment="1">
      <alignment horizontal="left" vertical="center" readingOrder="1"/>
    </xf>
    <xf numFmtId="0" fontId="0" fillId="3" borderId="0" xfId="0" applyFill="1" applyAlignment="1">
      <alignment horizontal="right" vertical="center" wrapText="1"/>
    </xf>
    <xf numFmtId="0" fontId="0" fillId="3" borderId="0" xfId="0" applyFill="1" applyAlignment="1">
      <alignment vertical="center"/>
    </xf>
    <xf numFmtId="3" fontId="0" fillId="3" borderId="0" xfId="0" applyNumberFormat="1" applyFill="1"/>
    <xf numFmtId="2" fontId="0" fillId="3" borderId="0" xfId="0" applyNumberFormat="1" applyFill="1"/>
    <xf numFmtId="0" fontId="0" fillId="4" borderId="0" xfId="0" applyFill="1" applyAlignment="1">
      <alignment horizontal="right" vertical="center" wrapText="1"/>
    </xf>
    <xf numFmtId="0" fontId="0" fillId="4" borderId="0" xfId="0" applyFill="1" applyAlignment="1">
      <alignment vertical="center"/>
    </xf>
    <xf numFmtId="1" fontId="0" fillId="4" borderId="0" xfId="0" applyNumberFormat="1" applyFill="1"/>
    <xf numFmtId="2" fontId="0" fillId="4" borderId="0" xfId="0" applyNumberFormat="1" applyFill="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8" xfId="0" applyNumberFormat="1" applyFont="1" applyBorder="1"/>
    <xf numFmtId="0" fontId="0" fillId="0" borderId="3" xfId="0" applyBorder="1"/>
    <xf numFmtId="3" fontId="0" fillId="0" borderId="0" xfId="0" applyNumberFormat="1" applyBorder="1" applyAlignment="1">
      <alignment horizontal="right"/>
    </xf>
    <xf numFmtId="4" fontId="0" fillId="0" borderId="0" xfId="0" applyNumberFormat="1" applyBorder="1" applyAlignment="1">
      <alignment horizontal="right"/>
    </xf>
    <xf numFmtId="3" fontId="0" fillId="0" borderId="0" xfId="0" applyNumberFormat="1" applyBorder="1"/>
    <xf numFmtId="1" fontId="0" fillId="0" borderId="0" xfId="0" applyNumberFormat="1" applyBorder="1" applyAlignment="1">
      <alignment horizontal="right"/>
    </xf>
    <xf numFmtId="0" fontId="0" fillId="0" borderId="2" xfId="0" applyBorder="1" applyAlignment="1">
      <alignment horizontal="right"/>
    </xf>
    <xf numFmtId="4" fontId="0" fillId="0" borderId="2" xfId="0" applyNumberFormat="1" applyBorder="1" applyAlignment="1">
      <alignment horizontal="right" vertical="top"/>
    </xf>
    <xf numFmtId="0" fontId="0" fillId="0" borderId="2" xfId="0" applyBorder="1" applyAlignment="1">
      <alignment horizontal="right" vertical="top" wrapText="1"/>
    </xf>
    <xf numFmtId="0" fontId="0" fillId="0" borderId="0" xfId="0" applyAlignment="1">
      <alignment horizontal="right"/>
    </xf>
    <xf numFmtId="1" fontId="0" fillId="0" borderId="2" xfId="0" applyNumberFormat="1" applyBorder="1" applyAlignment="1">
      <alignment vertical="top"/>
    </xf>
    <xf numFmtId="0" fontId="0" fillId="0" borderId="2" xfId="0" applyBorder="1" applyAlignment="1">
      <alignment horizontal="right" vertical="top"/>
    </xf>
    <xf numFmtId="2" fontId="0" fillId="0" borderId="2" xfId="0" applyNumberFormat="1" applyBorder="1" applyAlignment="1">
      <alignment vertical="top"/>
    </xf>
    <xf numFmtId="11" fontId="0" fillId="0" borderId="2" xfId="0" applyNumberFormat="1" applyBorder="1" applyAlignment="1">
      <alignment vertical="top"/>
    </xf>
    <xf numFmtId="0" fontId="0" fillId="0" borderId="2" xfId="0" applyNumberFormat="1" applyBorder="1" applyAlignment="1">
      <alignment vertical="top"/>
    </xf>
    <xf numFmtId="1" fontId="0" fillId="0" borderId="0" xfId="0" applyNumberFormat="1" applyAlignment="1">
      <alignment vertical="top"/>
    </xf>
    <xf numFmtId="0" fontId="0" fillId="0" borderId="0" xfId="0" applyAlignment="1">
      <alignment horizontal="right" vertical="top"/>
    </xf>
    <xf numFmtId="11" fontId="0" fillId="0" borderId="0" xfId="0" applyNumberFormat="1" applyAlignment="1">
      <alignment horizontal="right"/>
    </xf>
    <xf numFmtId="1" fontId="1" fillId="0" borderId="2" xfId="0" applyNumberFormat="1" applyFont="1" applyBorder="1" applyAlignment="1">
      <alignment vertical="top"/>
    </xf>
    <xf numFmtId="11" fontId="1" fillId="0" borderId="2" xfId="0" applyNumberFormat="1" applyFont="1" applyBorder="1" applyAlignment="1">
      <alignment vertical="top"/>
    </xf>
    <xf numFmtId="0" fontId="1" fillId="0" borderId="2" xfId="0" applyFont="1" applyBorder="1" applyAlignment="1">
      <alignment horizontal="right" vertical="top" wrapText="1"/>
    </xf>
    <xf numFmtId="0" fontId="0" fillId="0" borderId="2" xfId="0" applyBorder="1" applyAlignment="1">
      <alignment horizontal="right" vertical="top" wrapText="1"/>
    </xf>
    <xf numFmtId="1" fontId="1" fillId="0" borderId="2" xfId="0" applyNumberFormat="1" applyFont="1" applyBorder="1" applyAlignment="1">
      <alignment horizontal="right" vertical="top"/>
    </xf>
    <xf numFmtId="11" fontId="0" fillId="0" borderId="0" xfId="0" applyNumberFormat="1" applyAlignment="1">
      <alignment horizontal="right" vertical="top"/>
    </xf>
    <xf numFmtId="11" fontId="1" fillId="0" borderId="2" xfId="0" applyNumberFormat="1" applyFont="1" applyBorder="1" applyAlignment="1">
      <alignment horizontal="right" vertical="top" wrapText="1"/>
    </xf>
    <xf numFmtId="2" fontId="1" fillId="0" borderId="2" xfId="0" applyNumberFormat="1" applyFont="1" applyBorder="1" applyAlignment="1">
      <alignment horizontal="right" vertical="top"/>
    </xf>
    <xf numFmtId="0" fontId="11" fillId="0" borderId="0" xfId="0" applyFont="1" applyAlignment="1">
      <alignment vertical="top"/>
    </xf>
    <xf numFmtId="11" fontId="1" fillId="0" borderId="2" xfId="0" applyNumberFormat="1" applyFont="1" applyBorder="1" applyAlignment="1">
      <alignment horizontal="right" vertical="top"/>
    </xf>
    <xf numFmtId="0" fontId="10" fillId="0" borderId="2" xfId="0" applyFont="1" applyBorder="1" applyAlignment="1">
      <alignment vertical="top"/>
    </xf>
    <xf numFmtId="11" fontId="10" fillId="0" borderId="2" xfId="0" applyNumberFormat="1" applyFont="1" applyBorder="1" applyAlignment="1">
      <alignment vertical="top"/>
    </xf>
    <xf numFmtId="0" fontId="10" fillId="0" borderId="2" xfId="0" applyFont="1" applyBorder="1" applyAlignment="1">
      <alignment horizontal="right" vertical="top"/>
    </xf>
    <xf numFmtId="1" fontId="12" fillId="0" borderId="2" xfId="0" applyNumberFormat="1" applyFont="1" applyBorder="1" applyAlignment="1">
      <alignment vertical="top"/>
    </xf>
    <xf numFmtId="1" fontId="10" fillId="0" borderId="2" xfId="0" applyNumberFormat="1" applyFont="1" applyBorder="1" applyAlignment="1">
      <alignment vertical="top"/>
    </xf>
    <xf numFmtId="0" fontId="10" fillId="0" borderId="0" xfId="0" applyFont="1" applyAlignment="1">
      <alignment vertical="top"/>
    </xf>
    <xf numFmtId="1" fontId="12" fillId="0" borderId="2" xfId="0" applyNumberFormat="1" applyFont="1" applyBorder="1" applyAlignment="1">
      <alignment horizontal="right" vertical="top"/>
    </xf>
    <xf numFmtId="164" fontId="10" fillId="0" borderId="2" xfId="0" applyNumberFormat="1" applyFont="1" applyBorder="1" applyAlignment="1">
      <alignment vertical="top"/>
    </xf>
    <xf numFmtId="164" fontId="12" fillId="0" borderId="2" xfId="0" applyNumberFormat="1" applyFont="1" applyBorder="1" applyAlignment="1">
      <alignment horizontal="right" vertical="top" wrapText="1"/>
    </xf>
    <xf numFmtId="11" fontId="10" fillId="0" borderId="0" xfId="0" applyNumberFormat="1" applyFont="1" applyAlignment="1">
      <alignment vertical="top"/>
    </xf>
    <xf numFmtId="0" fontId="10" fillId="0" borderId="2" xfId="0" applyFont="1" applyBorder="1" applyAlignment="1">
      <alignment horizontal="right" vertical="top" wrapText="1"/>
    </xf>
    <xf numFmtId="2" fontId="12" fillId="0" borderId="2" xfId="0" applyNumberFormat="1" applyFont="1" applyBorder="1" applyAlignment="1">
      <alignment vertical="top"/>
    </xf>
    <xf numFmtId="0" fontId="0" fillId="0" borderId="9" xfId="0" applyBorder="1" applyAlignment="1">
      <alignment horizontal="right" vertical="top" wrapText="1"/>
    </xf>
    <xf numFmtId="0" fontId="1" fillId="2" borderId="5" xfId="0" applyFont="1" applyFill="1" applyBorder="1" applyAlignment="1"/>
    <xf numFmtId="0" fontId="1" fillId="0" borderId="0" xfId="0" applyFont="1" applyAlignment="1">
      <alignment horizontal="left"/>
    </xf>
    <xf numFmtId="0" fontId="0" fillId="0" borderId="0" xfId="0" applyAlignment="1">
      <alignment horizontal="left"/>
    </xf>
    <xf numFmtId="0" fontId="13" fillId="0" borderId="0" xfId="1" applyAlignment="1">
      <alignment horizontal="left"/>
    </xf>
    <xf numFmtId="0" fontId="2" fillId="0" borderId="0" xfId="0" applyFont="1" applyAlignment="1">
      <alignment horizontal="left"/>
    </xf>
    <xf numFmtId="11" fontId="12" fillId="0" borderId="2" xfId="0" applyNumberFormat="1" applyFont="1" applyBorder="1" applyAlignment="1">
      <alignment vertical="top"/>
    </xf>
    <xf numFmtId="9" fontId="0" fillId="0" borderId="0" xfId="0" applyNumberFormat="1"/>
    <xf numFmtId="9" fontId="0" fillId="0" borderId="0" xfId="0" applyNumberFormat="1" applyAlignment="1">
      <alignment horizontal="right" vertical="top"/>
    </xf>
    <xf numFmtId="9" fontId="0" fillId="0" borderId="0" xfId="0" applyNumberFormat="1" applyAlignment="1">
      <alignment horizontal="right"/>
    </xf>
    <xf numFmtId="0" fontId="0" fillId="0" borderId="0" xfId="0" applyNumberFormat="1" applyAlignment="1">
      <alignment horizontal="right"/>
    </xf>
    <xf numFmtId="0" fontId="13" fillId="0" borderId="0" xfId="1"/>
    <xf numFmtId="3" fontId="0" fillId="0" borderId="0" xfId="0" applyNumberFormat="1"/>
    <xf numFmtId="0" fontId="0" fillId="0" borderId="9" xfId="0" applyBorder="1" applyAlignment="1">
      <alignment horizontal="right" vertical="top" wrapText="1"/>
    </xf>
    <xf numFmtId="0" fontId="0" fillId="0" borderId="10" xfId="0" applyBorder="1" applyAlignment="1">
      <alignment horizontal="right" vertical="top" wrapText="1"/>
    </xf>
    <xf numFmtId="0" fontId="1" fillId="2" borderId="9" xfId="0" applyFont="1" applyFill="1" applyBorder="1" applyAlignment="1">
      <alignment horizontal="right" vertical="center"/>
    </xf>
    <xf numFmtId="0" fontId="1" fillId="2" borderId="10" xfId="0" applyFont="1" applyFill="1" applyBorder="1" applyAlignment="1">
      <alignment horizontal="right" vertical="center"/>
    </xf>
    <xf numFmtId="0" fontId="0" fillId="0" borderId="2" xfId="0" applyBorder="1" applyAlignment="1">
      <alignment horizontal="right" vertical="top" wrapText="1"/>
    </xf>
    <xf numFmtId="0" fontId="1" fillId="2" borderId="1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center"/>
    </xf>
    <xf numFmtId="0" fontId="1" fillId="2" borderId="0" xfId="0" applyFont="1" applyFill="1" applyBorder="1" applyAlignment="1">
      <alignment horizontal="center"/>
    </xf>
    <xf numFmtId="0" fontId="1" fillId="2" borderId="13" xfId="0" applyFont="1" applyFill="1" applyBorder="1" applyAlignment="1">
      <alignment horizontal="center"/>
    </xf>
    <xf numFmtId="3" fontId="0" fillId="0" borderId="9" xfId="0" applyNumberFormat="1" applyBorder="1" applyAlignment="1">
      <alignment horizontal="right" vertical="top"/>
    </xf>
    <xf numFmtId="3" fontId="0" fillId="0" borderId="3" xfId="0" applyNumberFormat="1" applyBorder="1" applyAlignment="1">
      <alignment horizontal="right" vertical="top"/>
    </xf>
    <xf numFmtId="3" fontId="0" fillId="0" borderId="10" xfId="0" applyNumberFormat="1" applyBorder="1" applyAlignment="1">
      <alignment horizontal="right" vertical="top"/>
    </xf>
    <xf numFmtId="0" fontId="0" fillId="0" borderId="2" xfId="0" applyBorder="1" applyAlignment="1">
      <alignment horizontal="right" vertical="center" textRotation="90" wrapText="1"/>
    </xf>
    <xf numFmtId="3" fontId="0" fillId="0" borderId="0" xfId="0" applyNumberFormat="1" applyAlignment="1">
      <alignment horizontal="right" vertical="center"/>
    </xf>
    <xf numFmtId="0" fontId="4" fillId="2" borderId="0" xfId="0" applyFont="1" applyFill="1" applyBorder="1" applyAlignment="1">
      <alignment horizontal="center"/>
    </xf>
    <xf numFmtId="0" fontId="0" fillId="2" borderId="0" xfId="0" applyFill="1" applyAlignment="1">
      <alignment horizontal="right" vertical="center" textRotation="90" wrapText="1"/>
    </xf>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Carbon_budget_IPCC!$C$20</c:f>
              <c:strCache>
                <c:ptCount val="1"/>
                <c:pt idx="0">
                  <c:v>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Carbon_budget_IPCC!$C$21:$C$101</c:f>
              <c:numCache>
                <c:formatCode>#,##0</c:formatCode>
                <c:ptCount val="81"/>
                <c:pt idx="0">
                  <c:v>7794798729</c:v>
                </c:pt>
                <c:pt idx="1">
                  <c:v>7874965731.9999895</c:v>
                </c:pt>
                <c:pt idx="2">
                  <c:v>7953952577</c:v>
                </c:pt>
                <c:pt idx="3">
                  <c:v>8031800338</c:v>
                </c:pt>
                <c:pt idx="4">
                  <c:v>8108605255</c:v>
                </c:pt>
                <c:pt idx="5">
                  <c:v>8184437453</c:v>
                </c:pt>
                <c:pt idx="6">
                  <c:v>8259276650.9999905</c:v>
                </c:pt>
                <c:pt idx="7">
                  <c:v>8333078318</c:v>
                </c:pt>
                <c:pt idx="8">
                  <c:v>8405863301.000001</c:v>
                </c:pt>
                <c:pt idx="9">
                  <c:v>8477660723.0000105</c:v>
                </c:pt>
                <c:pt idx="10">
                  <c:v>8548487370.999999</c:v>
                </c:pt>
                <c:pt idx="11">
                  <c:v>8618349453.9999905</c:v>
                </c:pt>
                <c:pt idx="12">
                  <c:v>8687227873</c:v>
                </c:pt>
                <c:pt idx="13">
                  <c:v>8755083512</c:v>
                </c:pt>
                <c:pt idx="14">
                  <c:v>8821862705</c:v>
                </c:pt>
                <c:pt idx="15">
                  <c:v>8887524229</c:v>
                </c:pt>
                <c:pt idx="16">
                  <c:v>8952048885.0000095</c:v>
                </c:pt>
                <c:pt idx="17">
                  <c:v>9015437616</c:v>
                </c:pt>
                <c:pt idx="18">
                  <c:v>9077693645.0000114</c:v>
                </c:pt>
                <c:pt idx="19">
                  <c:v>9138828562.0000095</c:v>
                </c:pt>
                <c:pt idx="20">
                  <c:v>9198847382</c:v>
                </c:pt>
                <c:pt idx="21">
                  <c:v>9257745483</c:v>
                </c:pt>
                <c:pt idx="22">
                  <c:v>9315508153</c:v>
                </c:pt>
                <c:pt idx="23">
                  <c:v>9372118247.0000114</c:v>
                </c:pt>
                <c:pt idx="24">
                  <c:v>9427555382</c:v>
                </c:pt>
                <c:pt idx="25">
                  <c:v>9481803272</c:v>
                </c:pt>
                <c:pt idx="26">
                  <c:v>9534854673</c:v>
                </c:pt>
                <c:pt idx="27">
                  <c:v>9586707749</c:v>
                </c:pt>
                <c:pt idx="28">
                  <c:v>9637357320</c:v>
                </c:pt>
                <c:pt idx="29">
                  <c:v>9686800146</c:v>
                </c:pt>
                <c:pt idx="30">
                  <c:v>9735033900</c:v>
                </c:pt>
                <c:pt idx="31">
                  <c:v>9782061758</c:v>
                </c:pt>
                <c:pt idx="32">
                  <c:v>9827885441</c:v>
                </c:pt>
                <c:pt idx="33">
                  <c:v>9872501562</c:v>
                </c:pt>
                <c:pt idx="34">
                  <c:v>9915905251.0000095</c:v>
                </c:pt>
                <c:pt idx="35">
                  <c:v>9958098746</c:v>
                </c:pt>
                <c:pt idx="36">
                  <c:v>9999085167</c:v>
                </c:pt>
                <c:pt idx="37">
                  <c:v>10038881262</c:v>
                </c:pt>
                <c:pt idx="38">
                  <c:v>10077518080</c:v>
                </c:pt>
                <c:pt idx="39">
                  <c:v>10115036360</c:v>
                </c:pt>
                <c:pt idx="40">
                  <c:v>10151469683</c:v>
                </c:pt>
                <c:pt idx="41">
                  <c:v>10186837209</c:v>
                </c:pt>
                <c:pt idx="42">
                  <c:v>10221149040</c:v>
                </c:pt>
                <c:pt idx="43">
                  <c:v>10254419004</c:v>
                </c:pt>
                <c:pt idx="44">
                  <c:v>10286658354</c:v>
                </c:pt>
                <c:pt idx="45">
                  <c:v>10317879315</c:v>
                </c:pt>
                <c:pt idx="46">
                  <c:v>10348098079</c:v>
                </c:pt>
                <c:pt idx="47">
                  <c:v>10377330830</c:v>
                </c:pt>
                <c:pt idx="48">
                  <c:v>10405590532</c:v>
                </c:pt>
                <c:pt idx="49">
                  <c:v>10432889136</c:v>
                </c:pt>
                <c:pt idx="50">
                  <c:v>10459239501</c:v>
                </c:pt>
                <c:pt idx="51">
                  <c:v>10484654858</c:v>
                </c:pt>
                <c:pt idx="52">
                  <c:v>10509150402</c:v>
                </c:pt>
                <c:pt idx="53">
                  <c:v>10532742861</c:v>
                </c:pt>
                <c:pt idx="54">
                  <c:v>10555450003</c:v>
                </c:pt>
                <c:pt idx="55">
                  <c:v>10577288195</c:v>
                </c:pt>
                <c:pt idx="56">
                  <c:v>10598274172</c:v>
                </c:pt>
                <c:pt idx="57">
                  <c:v>10618420909</c:v>
                </c:pt>
                <c:pt idx="58">
                  <c:v>10637736819</c:v>
                </c:pt>
                <c:pt idx="59">
                  <c:v>10656228233</c:v>
                </c:pt>
                <c:pt idx="60">
                  <c:v>10673904454</c:v>
                </c:pt>
                <c:pt idx="61">
                  <c:v>10690773335</c:v>
                </c:pt>
                <c:pt idx="62">
                  <c:v>10706852426</c:v>
                </c:pt>
                <c:pt idx="63">
                  <c:v>10722171375</c:v>
                </c:pt>
                <c:pt idx="64">
                  <c:v>10736765444</c:v>
                </c:pt>
                <c:pt idx="65">
                  <c:v>10750662353</c:v>
                </c:pt>
                <c:pt idx="66">
                  <c:v>10763874023</c:v>
                </c:pt>
                <c:pt idx="67">
                  <c:v>10776402019</c:v>
                </c:pt>
                <c:pt idx="68">
                  <c:v>10788248948</c:v>
                </c:pt>
                <c:pt idx="69">
                  <c:v>10799413366</c:v>
                </c:pt>
                <c:pt idx="70">
                  <c:v>10809892303</c:v>
                </c:pt>
                <c:pt idx="71">
                  <c:v>10819682643</c:v>
                </c:pt>
                <c:pt idx="72">
                  <c:v>10828780959</c:v>
                </c:pt>
                <c:pt idx="73">
                  <c:v>10837182077</c:v>
                </c:pt>
                <c:pt idx="74">
                  <c:v>10844878798</c:v>
                </c:pt>
                <c:pt idx="75">
                  <c:v>10851860145</c:v>
                </c:pt>
                <c:pt idx="76">
                  <c:v>10858111587</c:v>
                </c:pt>
                <c:pt idx="77">
                  <c:v>10863614776</c:v>
                </c:pt>
                <c:pt idx="78">
                  <c:v>10868347636</c:v>
                </c:pt>
                <c:pt idx="79">
                  <c:v>10872284134</c:v>
                </c:pt>
                <c:pt idx="80">
                  <c:v>10875393719</c:v>
                </c:pt>
              </c:numCache>
            </c:numRef>
          </c:yVal>
          <c:smooth val="0"/>
          <c:extLst>
            <c:ext xmlns:c16="http://schemas.microsoft.com/office/drawing/2014/chart" uri="{C3380CC4-5D6E-409C-BE32-E72D297353CC}">
              <c16:uniqueId val="{00000001-2D06-4CCE-A0C7-BEAA63DEEB01}"/>
            </c:ext>
          </c:extLst>
        </c:ser>
        <c:dLbls>
          <c:showLegendKey val="0"/>
          <c:showVal val="0"/>
          <c:showCatName val="0"/>
          <c:showSerName val="0"/>
          <c:showPercent val="0"/>
          <c:showBubbleSize val="0"/>
        </c:dLbls>
        <c:axId val="803380111"/>
        <c:axId val="544240479"/>
      </c:scatterChart>
      <c:scatterChart>
        <c:scatterStyle val="lineMarker"/>
        <c:varyColors val="0"/>
        <c:ser>
          <c:idx val="0"/>
          <c:order val="1"/>
          <c:tx>
            <c:strRef>
              <c:f>Carbon_budget_IPCC!$D$20</c:f>
              <c:strCache>
                <c:ptCount val="1"/>
                <c:pt idx="0">
                  <c:v>Per capita dynamic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Carbon_budget_IPCC!$D$21:$D$101</c:f>
              <c:numCache>
                <c:formatCode>#,##0</c:formatCode>
                <c:ptCount val="81"/>
                <c:pt idx="0">
                  <c:v>633.53420359216966</c:v>
                </c:pt>
                <c:pt idx="1">
                  <c:v>627.08483731828358</c:v>
                </c:pt>
                <c:pt idx="2">
                  <c:v>620.85756196460056</c:v>
                </c:pt>
                <c:pt idx="3">
                  <c:v>614.83993589511351</c:v>
                </c:pt>
                <c:pt idx="4">
                  <c:v>609.01615624871988</c:v>
                </c:pt>
                <c:pt idx="5">
                  <c:v>603.37336967834619</c:v>
                </c:pt>
                <c:pt idx="6">
                  <c:v>597.9060653381033</c:v>
                </c:pt>
                <c:pt idx="7">
                  <c:v>592.61072757125999</c:v>
                </c:pt>
                <c:pt idx="8">
                  <c:v>587.47940908708233</c:v>
                </c:pt>
                <c:pt idx="9">
                  <c:v>582.50403811757553</c:v>
                </c:pt>
                <c:pt idx="10">
                  <c:v>577.67782656975419</c:v>
                </c:pt>
                <c:pt idx="11">
                  <c:v>572.99505332152626</c:v>
                </c:pt>
                <c:pt idx="12">
                  <c:v>568.45194774808135</c:v>
                </c:pt>
                <c:pt idx="13">
                  <c:v>564.04620220580614</c:v>
                </c:pt>
                <c:pt idx="14">
                  <c:v>559.77652000176658</c:v>
                </c:pt>
                <c:pt idx="15">
                  <c:v>555.64085989489479</c:v>
                </c:pt>
                <c:pt idx="16">
                  <c:v>551.63590686069699</c:v>
                </c:pt>
                <c:pt idx="17">
                  <c:v>547.75728203965991</c:v>
                </c:pt>
                <c:pt idx="18">
                  <c:v>544.00068982921323</c:v>
                </c:pt>
                <c:pt idx="19">
                  <c:v>540.36155415717121</c:v>
                </c:pt>
                <c:pt idx="20">
                  <c:v>536.8359099642546</c:v>
                </c:pt>
                <c:pt idx="21">
                  <c:v>533.42054110327626</c:v>
                </c:pt>
                <c:pt idx="22">
                  <c:v>530.11296043446998</c:v>
                </c:pt>
                <c:pt idx="23">
                  <c:v>526.91093675850686</c:v>
                </c:pt>
                <c:pt idx="24">
                  <c:v>523.8125266669764</c:v>
                </c:pt>
                <c:pt idx="25">
                  <c:v>520.81565745211253</c:v>
                </c:pt>
                <c:pt idx="26">
                  <c:v>517.91786810574615</c:v>
                </c:pt>
                <c:pt idx="27">
                  <c:v>515.11652740779414</c:v>
                </c:pt>
                <c:pt idx="28">
                  <c:v>512.40930900113926</c:v>
                </c:pt>
                <c:pt idx="29">
                  <c:v>509.79389793413327</c:v>
                </c:pt>
                <c:pt idx="30">
                  <c:v>507.26804402173389</c:v>
                </c:pt>
                <c:pt idx="31">
                  <c:v>504.82932198824415</c:v>
                </c:pt>
                <c:pt idx="32">
                  <c:v>502.4754953223993</c:v>
                </c:pt>
                <c:pt idx="33">
                  <c:v>500.20469218724156</c:v>
                </c:pt>
                <c:pt idx="34">
                  <c:v>498.01520687586759</c:v>
                </c:pt>
                <c:pt idx="35">
                  <c:v>495.90506490226278</c:v>
                </c:pt>
                <c:pt idx="36">
                  <c:v>493.87234156541228</c:v>
                </c:pt>
                <c:pt idx="37">
                  <c:v>491.91453470328651</c:v>
                </c:pt>
                <c:pt idx="38">
                  <c:v>490.0285532346345</c:v>
                </c:pt>
                <c:pt idx="39">
                  <c:v>488.21095932652401</c:v>
                </c:pt>
                <c:pt idx="40">
                  <c:v>486.45878470267917</c:v>
                </c:pt>
                <c:pt idx="41">
                  <c:v>484.7698558071923</c:v>
                </c:pt>
                <c:pt idx="42">
                  <c:v>483.14251026108428</c:v>
                </c:pt>
                <c:pt idx="43">
                  <c:v>481.57497787168359</c:v>
                </c:pt>
                <c:pt idx="44">
                  <c:v>480.06567682088991</c:v>
                </c:pt>
                <c:pt idx="45">
                  <c:v>478.61304190281385</c:v>
                </c:pt>
                <c:pt idx="46">
                  <c:v>477.2153846280018</c:v>
                </c:pt>
                <c:pt idx="47">
                  <c:v>475.8710776245216</c:v>
                </c:pt>
                <c:pt idx="48">
                  <c:v>474.5786978405265</c:v>
                </c:pt>
                <c:pt idx="49">
                  <c:v>473.33691948265243</c:v>
                </c:pt>
                <c:pt idx="50">
                  <c:v>472.14442354686753</c:v>
                </c:pt>
                <c:pt idx="51">
                  <c:v>470.99992053341384</c:v>
                </c:pt>
                <c:pt idx="52">
                  <c:v>469.90207733619144</c:v>
                </c:pt>
                <c:pt idx="53">
                  <c:v>468.84953616625387</c:v>
                </c:pt>
                <c:pt idx="54">
                  <c:v>467.84093558633208</c:v>
                </c:pt>
                <c:pt idx="55">
                  <c:v>466.87501691337548</c:v>
                </c:pt>
                <c:pt idx="56">
                  <c:v>465.95054296527701</c:v>
                </c:pt>
                <c:pt idx="57">
                  <c:v>465.06647713999291</c:v>
                </c:pt>
                <c:pt idx="58">
                  <c:v>464.2220134754653</c:v>
                </c:pt>
                <c:pt idx="59">
                  <c:v>463.41646377707343</c:v>
                </c:pt>
                <c:pt idx="60">
                  <c:v>462.64903590060482</c:v>
                </c:pt>
                <c:pt idx="61">
                  <c:v>461.91902589227158</c:v>
                </c:pt>
                <c:pt idx="62">
                  <c:v>461.22533574352934</c:v>
                </c:pt>
                <c:pt idx="63">
                  <c:v>460.56637524489031</c:v>
                </c:pt>
                <c:pt idx="64">
                  <c:v>459.94034522733415</c:v>
                </c:pt>
                <c:pt idx="65">
                  <c:v>459.34580054597603</c:v>
                </c:pt>
                <c:pt idx="66">
                  <c:v>458.7819956259508</c:v>
                </c:pt>
                <c:pt idx="67">
                  <c:v>458.24864330706549</c:v>
                </c:pt>
                <c:pt idx="68">
                  <c:v>457.74542548480605</c:v>
                </c:pt>
                <c:pt idx="69">
                  <c:v>457.27220892252598</c:v>
                </c:pt>
                <c:pt idx="70">
                  <c:v>456.828936544334</c:v>
                </c:pt>
                <c:pt idx="71">
                  <c:v>456.41556854102191</c:v>
                </c:pt>
                <c:pt idx="72">
                  <c:v>456.0320892661498</c:v>
                </c:pt>
                <c:pt idx="73">
                  <c:v>455.67856753268717</c:v>
                </c:pt>
                <c:pt idx="74">
                  <c:v>455.35516780961922</c:v>
                </c:pt>
                <c:pt idx="75">
                  <c:v>455.06222333814196</c:v>
                </c:pt>
                <c:pt idx="76">
                  <c:v>454.80022611396578</c:v>
                </c:pt>
                <c:pt idx="77">
                  <c:v>454.5698376426185</c:v>
                </c:pt>
                <c:pt idx="78">
                  <c:v>454.3718852515247</c:v>
                </c:pt>
                <c:pt idx="79">
                  <c:v>454.20737207329057</c:v>
                </c:pt>
                <c:pt idx="80">
                  <c:v>454.07750124124692</c:v>
                </c:pt>
              </c:numCache>
            </c:numRef>
          </c:yVal>
          <c:smooth val="0"/>
          <c:extLst>
            <c:ext xmlns:c16="http://schemas.microsoft.com/office/drawing/2014/chart" uri="{C3380CC4-5D6E-409C-BE32-E72D297353CC}">
              <c16:uniqueId val="{00000003-2D06-4CCE-A0C7-BEAA63DEEB01}"/>
            </c:ext>
          </c:extLst>
        </c:ser>
        <c:ser>
          <c:idx val="2"/>
          <c:order val="2"/>
          <c:tx>
            <c:strRef>
              <c:f>Carbon_budget_IPCC!$F$20</c:f>
              <c:strCache>
                <c:ptCount val="1"/>
                <c:pt idx="0">
                  <c:v>Per capita static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Carbon_budget_IPCC!$F$21:$F$101</c:f>
              <c:numCache>
                <c:formatCode>0</c:formatCode>
                <c:ptCount val="81"/>
                <c:pt idx="0">
                  <c:v>500.56382763830214</c:v>
                </c:pt>
                <c:pt idx="1">
                  <c:v>500.56382763830214</c:v>
                </c:pt>
                <c:pt idx="2">
                  <c:v>500.56382763830214</c:v>
                </c:pt>
                <c:pt idx="3">
                  <c:v>500.56382763830214</c:v>
                </c:pt>
                <c:pt idx="4">
                  <c:v>500.56382763830214</c:v>
                </c:pt>
                <c:pt idx="5">
                  <c:v>500.56382763830214</c:v>
                </c:pt>
                <c:pt idx="6">
                  <c:v>500.56382763830214</c:v>
                </c:pt>
                <c:pt idx="7">
                  <c:v>500.56382763830214</c:v>
                </c:pt>
                <c:pt idx="8">
                  <c:v>500.56382763830214</c:v>
                </c:pt>
                <c:pt idx="9">
                  <c:v>500.56382763830214</c:v>
                </c:pt>
                <c:pt idx="10">
                  <c:v>500.56382763830214</c:v>
                </c:pt>
                <c:pt idx="11">
                  <c:v>500.56382763830214</c:v>
                </c:pt>
                <c:pt idx="12">
                  <c:v>500.56382763830214</c:v>
                </c:pt>
                <c:pt idx="13">
                  <c:v>500.56382763830214</c:v>
                </c:pt>
                <c:pt idx="14">
                  <c:v>500.56382763830214</c:v>
                </c:pt>
                <c:pt idx="15">
                  <c:v>500.56382763830214</c:v>
                </c:pt>
                <c:pt idx="16">
                  <c:v>500.56382763830214</c:v>
                </c:pt>
                <c:pt idx="17">
                  <c:v>500.56382763830214</c:v>
                </c:pt>
                <c:pt idx="18">
                  <c:v>500.56382763830214</c:v>
                </c:pt>
                <c:pt idx="19">
                  <c:v>500.56382763830214</c:v>
                </c:pt>
                <c:pt idx="20">
                  <c:v>500.56382763830214</c:v>
                </c:pt>
                <c:pt idx="21">
                  <c:v>500.56382763830214</c:v>
                </c:pt>
                <c:pt idx="22">
                  <c:v>500.56382763830214</c:v>
                </c:pt>
                <c:pt idx="23">
                  <c:v>500.56382763830214</c:v>
                </c:pt>
                <c:pt idx="24">
                  <c:v>500.56382763830214</c:v>
                </c:pt>
                <c:pt idx="25">
                  <c:v>500.56382763830214</c:v>
                </c:pt>
                <c:pt idx="26">
                  <c:v>500.56382763830214</c:v>
                </c:pt>
                <c:pt idx="27">
                  <c:v>500.56382763830214</c:v>
                </c:pt>
                <c:pt idx="28">
                  <c:v>500.56382763830214</c:v>
                </c:pt>
                <c:pt idx="29">
                  <c:v>500.56382763830214</c:v>
                </c:pt>
                <c:pt idx="30">
                  <c:v>500.56382763830214</c:v>
                </c:pt>
                <c:pt idx="31">
                  <c:v>500.56382763830214</c:v>
                </c:pt>
                <c:pt idx="32">
                  <c:v>500.56382763830214</c:v>
                </c:pt>
                <c:pt idx="33">
                  <c:v>500.56382763830214</c:v>
                </c:pt>
                <c:pt idx="34">
                  <c:v>500.56382763830214</c:v>
                </c:pt>
                <c:pt idx="35">
                  <c:v>500.56382763830214</c:v>
                </c:pt>
                <c:pt idx="36">
                  <c:v>500.56382763830214</c:v>
                </c:pt>
                <c:pt idx="37">
                  <c:v>500.56382763830214</c:v>
                </c:pt>
                <c:pt idx="38">
                  <c:v>500.56382763830214</c:v>
                </c:pt>
                <c:pt idx="39">
                  <c:v>500.56382763830214</c:v>
                </c:pt>
                <c:pt idx="40">
                  <c:v>500.56382763830214</c:v>
                </c:pt>
                <c:pt idx="41">
                  <c:v>500.56382763830214</c:v>
                </c:pt>
                <c:pt idx="42">
                  <c:v>500.56382763830214</c:v>
                </c:pt>
                <c:pt idx="43">
                  <c:v>500.56382763830214</c:v>
                </c:pt>
                <c:pt idx="44">
                  <c:v>500.56382763830214</c:v>
                </c:pt>
                <c:pt idx="45">
                  <c:v>500.56382763830214</c:v>
                </c:pt>
                <c:pt idx="46">
                  <c:v>500.56382763830214</c:v>
                </c:pt>
                <c:pt idx="47">
                  <c:v>500.56382763830214</c:v>
                </c:pt>
                <c:pt idx="48">
                  <c:v>500.56382763830214</c:v>
                </c:pt>
                <c:pt idx="49">
                  <c:v>500.56382763830214</c:v>
                </c:pt>
                <c:pt idx="50">
                  <c:v>500.56382763830214</c:v>
                </c:pt>
                <c:pt idx="51">
                  <c:v>500.56382763830214</c:v>
                </c:pt>
                <c:pt idx="52">
                  <c:v>500.56382763830214</c:v>
                </c:pt>
                <c:pt idx="53">
                  <c:v>500.56382763830214</c:v>
                </c:pt>
                <c:pt idx="54">
                  <c:v>500.56382763830214</c:v>
                </c:pt>
                <c:pt idx="55">
                  <c:v>500.56382763830214</c:v>
                </c:pt>
                <c:pt idx="56">
                  <c:v>500.56382763830214</c:v>
                </c:pt>
                <c:pt idx="57">
                  <c:v>500.56382763830214</c:v>
                </c:pt>
                <c:pt idx="58">
                  <c:v>500.56382763830214</c:v>
                </c:pt>
                <c:pt idx="59">
                  <c:v>500.56382763830214</c:v>
                </c:pt>
                <c:pt idx="60">
                  <c:v>500.56382763830214</c:v>
                </c:pt>
                <c:pt idx="61">
                  <c:v>500.56382763830214</c:v>
                </c:pt>
                <c:pt idx="62">
                  <c:v>500.56382763830214</c:v>
                </c:pt>
                <c:pt idx="63">
                  <c:v>500.56382763830214</c:v>
                </c:pt>
                <c:pt idx="64">
                  <c:v>500.56382763830214</c:v>
                </c:pt>
                <c:pt idx="65">
                  <c:v>500.56382763830214</c:v>
                </c:pt>
                <c:pt idx="66">
                  <c:v>500.56382763830214</c:v>
                </c:pt>
                <c:pt idx="67">
                  <c:v>500.56382763830214</c:v>
                </c:pt>
                <c:pt idx="68">
                  <c:v>500.56382763830214</c:v>
                </c:pt>
                <c:pt idx="69">
                  <c:v>500.56382763830214</c:v>
                </c:pt>
                <c:pt idx="70">
                  <c:v>500.56382763830214</c:v>
                </c:pt>
                <c:pt idx="71">
                  <c:v>500.56382763830214</c:v>
                </c:pt>
                <c:pt idx="72">
                  <c:v>500.56382763830214</c:v>
                </c:pt>
                <c:pt idx="73">
                  <c:v>500.56382763830214</c:v>
                </c:pt>
                <c:pt idx="74">
                  <c:v>500.56382763830214</c:v>
                </c:pt>
                <c:pt idx="75">
                  <c:v>500.56382763830214</c:v>
                </c:pt>
                <c:pt idx="76">
                  <c:v>500.56382763830214</c:v>
                </c:pt>
                <c:pt idx="77">
                  <c:v>500.56382763830214</c:v>
                </c:pt>
                <c:pt idx="78">
                  <c:v>500.56382763830214</c:v>
                </c:pt>
                <c:pt idx="79">
                  <c:v>500.56382763830214</c:v>
                </c:pt>
                <c:pt idx="80">
                  <c:v>500.56382763830214</c:v>
                </c:pt>
              </c:numCache>
            </c:numRef>
          </c:yVal>
          <c:smooth val="0"/>
          <c:extLst>
            <c:ext xmlns:c16="http://schemas.microsoft.com/office/drawing/2014/chart" uri="{C3380CC4-5D6E-409C-BE32-E72D297353CC}">
              <c16:uniqueId val="{00000004-2D06-4CCE-A0C7-BEAA63DEEB01}"/>
            </c:ext>
          </c:extLst>
        </c:ser>
        <c:dLbls>
          <c:showLegendKey val="0"/>
          <c:showVal val="0"/>
          <c:showCatName val="0"/>
          <c:showSerName val="0"/>
          <c:showPercent val="0"/>
          <c:showBubbleSize val="0"/>
        </c:dLbls>
        <c:axId val="544239231"/>
        <c:axId val="544227583"/>
      </c:scatterChart>
      <c:valAx>
        <c:axId val="80338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40479"/>
        <c:crosses val="autoZero"/>
        <c:crossBetween val="midCat"/>
      </c:valAx>
      <c:valAx>
        <c:axId val="544240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3380111"/>
        <c:crosses val="autoZero"/>
        <c:crossBetween val="midCat"/>
      </c:valAx>
      <c:valAx>
        <c:axId val="544227583"/>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39231"/>
        <c:crosses val="max"/>
        <c:crossBetween val="midCat"/>
      </c:valAx>
      <c:valAx>
        <c:axId val="544239231"/>
        <c:scaling>
          <c:orientation val="minMax"/>
        </c:scaling>
        <c:delete val="1"/>
        <c:axPos val="b"/>
        <c:numFmt formatCode="General" sourceLinked="1"/>
        <c:majorTickMark val="out"/>
        <c:minorTickMark val="none"/>
        <c:tickLblPos val="nextTo"/>
        <c:crossAx val="544227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587828</xdr:colOff>
      <xdr:row>0</xdr:row>
      <xdr:rowOff>0</xdr:rowOff>
    </xdr:from>
    <xdr:to>
      <xdr:col>18</xdr:col>
      <xdr:colOff>147315</xdr:colOff>
      <xdr:row>24</xdr:row>
      <xdr:rowOff>174170</xdr:rowOff>
    </xdr:to>
    <xdr:pic>
      <xdr:nvPicPr>
        <xdr:cNvPr id="2" name="Picture 1">
          <a:extLst>
            <a:ext uri="{FF2B5EF4-FFF2-40B4-BE49-F238E27FC236}">
              <a16:creationId xmlns:a16="http://schemas.microsoft.com/office/drawing/2014/main" id="{2A8EE0F2-6E67-4A74-9153-6362952BC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699" y="0"/>
          <a:ext cx="6744058" cy="487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149677</xdr:colOff>
      <xdr:row>25</xdr:row>
      <xdr:rowOff>68034</xdr:rowOff>
    </xdr:from>
    <xdr:to>
      <xdr:col>15</xdr:col>
      <xdr:colOff>149677</xdr:colOff>
      <xdr:row>40</xdr:row>
      <xdr:rowOff>35377</xdr:rowOff>
    </xdr:to>
    <xdr:graphicFrame macro="">
      <xdr:nvGraphicFramePr>
        <xdr:cNvPr id="3" name="Chart 2">
          <a:extLst>
            <a:ext uri="{FF2B5EF4-FFF2-40B4-BE49-F238E27FC236}">
              <a16:creationId xmlns:a16="http://schemas.microsoft.com/office/drawing/2014/main" id="{0E30E1ED-A85F-4CDB-8A10-5016E7B6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population.un.org/wp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pcc.ch/report/ar6/wg3/downloads/report/IPCC_AR6_WGIII_SP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012-6564-4785-9614-C90A87831E70}">
  <dimension ref="A1:S32"/>
  <sheetViews>
    <sheetView workbookViewId="0">
      <pane xSplit="1" ySplit="2" topLeftCell="B3" activePane="bottomRight" state="frozen"/>
      <selection pane="topRight" activeCell="B1" sqref="B1"/>
      <selection pane="bottomLeft" activeCell="A3" sqref="A3"/>
      <selection pane="bottomRight" activeCell="J3" sqref="J3"/>
    </sheetView>
  </sheetViews>
  <sheetFormatPr defaultRowHeight="14.6" x14ac:dyDescent="0.4"/>
  <cols>
    <col min="1" max="1" width="32.3046875" bestFit="1" customWidth="1"/>
    <col min="2" max="2" width="17.84375" customWidth="1"/>
    <col min="3" max="3" width="12.15234375" customWidth="1"/>
    <col min="4" max="4" width="24" style="63" bestFit="1" customWidth="1"/>
    <col min="5" max="8" width="15.84375" style="63" bestFit="1" customWidth="1"/>
    <col min="9" max="9" width="13" customWidth="1"/>
    <col min="10" max="10" width="13" bestFit="1" customWidth="1"/>
    <col min="11" max="11" width="11.15234375" customWidth="1"/>
    <col min="12" max="12" width="10.69140625" customWidth="1"/>
    <col min="13" max="13" width="11.15234375" customWidth="1"/>
    <col min="14" max="14" width="23.53515625" customWidth="1"/>
    <col min="15" max="15" width="115.3828125" style="63" customWidth="1"/>
    <col min="18" max="18" width="10.84375" bestFit="1" customWidth="1"/>
  </cols>
  <sheetData>
    <row r="1" spans="1:19" x14ac:dyDescent="0.4">
      <c r="A1" s="114" t="s">
        <v>67</v>
      </c>
      <c r="B1" s="112" t="s">
        <v>107</v>
      </c>
      <c r="C1" s="112"/>
      <c r="D1" s="113"/>
      <c r="E1" s="118" t="s">
        <v>119</v>
      </c>
      <c r="F1" s="112"/>
      <c r="G1" s="112"/>
      <c r="H1" s="112"/>
      <c r="I1" s="116" t="s">
        <v>114</v>
      </c>
      <c r="J1" s="117"/>
      <c r="K1" s="117"/>
      <c r="L1" s="117"/>
      <c r="M1" s="117"/>
      <c r="N1" s="95"/>
      <c r="O1" s="109" t="s">
        <v>68</v>
      </c>
    </row>
    <row r="2" spans="1:19" s="21" customFormat="1" ht="29.15" x14ac:dyDescent="0.4">
      <c r="A2" s="115"/>
      <c r="B2" s="27" t="s">
        <v>110</v>
      </c>
      <c r="C2" s="27" t="s">
        <v>69</v>
      </c>
      <c r="D2" s="27" t="s">
        <v>39</v>
      </c>
      <c r="E2" s="27" t="s">
        <v>115</v>
      </c>
      <c r="F2" s="27" t="s">
        <v>116</v>
      </c>
      <c r="G2" s="27" t="s">
        <v>117</v>
      </c>
      <c r="H2" s="27" t="s">
        <v>118</v>
      </c>
      <c r="I2" s="26" t="s">
        <v>101</v>
      </c>
      <c r="J2" s="26" t="s">
        <v>122</v>
      </c>
      <c r="K2" s="26" t="s">
        <v>123</v>
      </c>
      <c r="L2" s="26" t="s">
        <v>124</v>
      </c>
      <c r="M2" s="26" t="s">
        <v>125</v>
      </c>
      <c r="N2" s="27" t="s">
        <v>39</v>
      </c>
      <c r="O2" s="110"/>
    </row>
    <row r="3" spans="1:19" s="36" customFormat="1" ht="43.75" x14ac:dyDescent="0.4">
      <c r="A3" s="33" t="s">
        <v>50</v>
      </c>
      <c r="B3" s="75" t="s">
        <v>111</v>
      </c>
      <c r="C3" s="67">
        <f>Carbon_budget_IPCC!F4*1000000000000</f>
        <v>400000000000000</v>
      </c>
      <c r="D3" s="65" t="s">
        <v>97</v>
      </c>
      <c r="E3" s="119">
        <f>Population_UP!B14*1000</f>
        <v>7794798729</v>
      </c>
      <c r="F3" s="119">
        <f>Population_UP!B24*1000</f>
        <v>8548487370.999999</v>
      </c>
      <c r="G3" s="119">
        <f>Population_UP!B34*1000</f>
        <v>9198847382</v>
      </c>
      <c r="H3" s="119">
        <f>Population_UP!B44*1000</f>
        <v>9735033900</v>
      </c>
      <c r="I3" s="64">
        <v>985</v>
      </c>
      <c r="J3" s="72">
        <f>Carbon_budget_IPCC!$F$14</f>
        <v>500.56382763830209</v>
      </c>
      <c r="K3" s="72">
        <f>Carbon_budget_IPCC!$F$14</f>
        <v>500.56382763830209</v>
      </c>
      <c r="L3" s="72">
        <f>Carbon_budget_IPCC!$F$14</f>
        <v>500.56382763830209</v>
      </c>
      <c r="M3" s="72">
        <f>Carbon_budget_IPCC!$F$14</f>
        <v>500.56382763830209</v>
      </c>
      <c r="N3" s="76" t="s">
        <v>98</v>
      </c>
      <c r="O3" s="94" t="s">
        <v>126</v>
      </c>
    </row>
    <row r="4" spans="1:19" s="87" customFormat="1" ht="87.45" x14ac:dyDescent="0.4">
      <c r="A4" s="82" t="s">
        <v>51</v>
      </c>
      <c r="B4" s="84" t="s">
        <v>112</v>
      </c>
      <c r="C4" s="83">
        <v>1000000000000</v>
      </c>
      <c r="D4" s="84" t="s">
        <v>99</v>
      </c>
      <c r="E4" s="120"/>
      <c r="F4" s="120"/>
      <c r="G4" s="120"/>
      <c r="H4" s="120"/>
      <c r="I4" s="86">
        <v>145</v>
      </c>
      <c r="J4" s="85">
        <f t="shared" ref="J4:K8" si="0">$C4/E$3</f>
        <v>128.29067622741437</v>
      </c>
      <c r="K4" s="85">
        <f t="shared" si="0"/>
        <v>116.97975988037523</v>
      </c>
      <c r="L4" s="85">
        <f t="shared" ref="L4:M4" si="1">$C4/G$3</f>
        <v>108.70927176776156</v>
      </c>
      <c r="M4" s="85">
        <f t="shared" si="1"/>
        <v>102.72177891440111</v>
      </c>
      <c r="N4" s="88" t="s">
        <v>100</v>
      </c>
      <c r="O4" s="62" t="s">
        <v>133</v>
      </c>
    </row>
    <row r="5" spans="1:19" s="36" customFormat="1" ht="73" customHeight="1" x14ac:dyDescent="0.4">
      <c r="A5" s="33" t="s">
        <v>52</v>
      </c>
      <c r="B5" s="84" t="s">
        <v>112</v>
      </c>
      <c r="C5" s="67">
        <v>5780000000</v>
      </c>
      <c r="D5" s="65" t="s">
        <v>80</v>
      </c>
      <c r="E5" s="120"/>
      <c r="F5" s="120"/>
      <c r="G5" s="120"/>
      <c r="H5" s="120"/>
      <c r="I5" s="66">
        <v>0.84</v>
      </c>
      <c r="J5" s="93">
        <f t="shared" si="0"/>
        <v>0.74152010859445505</v>
      </c>
      <c r="K5" s="93">
        <f t="shared" si="0"/>
        <v>0.67614301210856886</v>
      </c>
      <c r="L5" s="93">
        <f t="shared" ref="L5" si="2">$C5/G$3</f>
        <v>0.62833959081766189</v>
      </c>
      <c r="M5" s="93">
        <f t="shared" ref="M5" si="3">$C5/H$3</f>
        <v>0.59373188212523842</v>
      </c>
      <c r="N5" s="79" t="s">
        <v>82</v>
      </c>
      <c r="O5" s="107" t="s">
        <v>85</v>
      </c>
    </row>
    <row r="6" spans="1:19" s="36" customFormat="1" x14ac:dyDescent="0.4">
      <c r="A6" s="33" t="s">
        <v>53</v>
      </c>
      <c r="B6" s="84" t="s">
        <v>112</v>
      </c>
      <c r="C6" s="67">
        <v>202000000000</v>
      </c>
      <c r="D6" s="65" t="s">
        <v>81</v>
      </c>
      <c r="E6" s="120"/>
      <c r="F6" s="120"/>
      <c r="G6" s="120"/>
      <c r="H6" s="120"/>
      <c r="I6" s="64">
        <v>29</v>
      </c>
      <c r="J6" s="85">
        <f t="shared" si="0"/>
        <v>25.914716597937701</v>
      </c>
      <c r="K6" s="85">
        <f t="shared" si="0"/>
        <v>23.629911495835795</v>
      </c>
      <c r="L6" s="85">
        <f t="shared" ref="L6" si="4">$C6/G$3</f>
        <v>21.959272897087835</v>
      </c>
      <c r="M6" s="85">
        <f t="shared" ref="M6" si="5">$C6/H$3</f>
        <v>20.749799340709025</v>
      </c>
      <c r="N6" s="76" t="s">
        <v>83</v>
      </c>
      <c r="O6" s="108"/>
    </row>
    <row r="7" spans="1:19" s="87" customFormat="1" ht="87.45" x14ac:dyDescent="0.4">
      <c r="A7" s="82" t="s">
        <v>54</v>
      </c>
      <c r="B7" s="84" t="s">
        <v>112</v>
      </c>
      <c r="C7" s="83">
        <v>6130000000000</v>
      </c>
      <c r="D7" s="84" t="s">
        <v>104</v>
      </c>
      <c r="E7" s="120"/>
      <c r="F7" s="120"/>
      <c r="G7" s="120"/>
      <c r="H7" s="120"/>
      <c r="I7" s="86">
        <v>887</v>
      </c>
      <c r="J7" s="85">
        <f t="shared" si="0"/>
        <v>786.42184527405004</v>
      </c>
      <c r="K7" s="85">
        <f t="shared" si="0"/>
        <v>717.08592806670015</v>
      </c>
      <c r="L7" s="85">
        <f t="shared" ref="L7:L8" si="6">$C7/G$3</f>
        <v>666.38783593637845</v>
      </c>
      <c r="M7" s="85">
        <f t="shared" ref="M7:M8" si="7">$C7/H$3</f>
        <v>629.68450474527879</v>
      </c>
      <c r="N7" s="88" t="s">
        <v>105</v>
      </c>
      <c r="O7" s="62" t="s">
        <v>106</v>
      </c>
      <c r="Q7" s="91"/>
      <c r="S7" s="91"/>
    </row>
    <row r="8" spans="1:19" s="80" customFormat="1" ht="43.75" x14ac:dyDescent="0.4">
      <c r="A8" s="82" t="s">
        <v>55</v>
      </c>
      <c r="B8" s="84" t="s">
        <v>112</v>
      </c>
      <c r="C8" s="83">
        <v>407000000000</v>
      </c>
      <c r="D8" s="92" t="s">
        <v>75</v>
      </c>
      <c r="E8" s="120"/>
      <c r="F8" s="120"/>
      <c r="G8" s="120"/>
      <c r="H8" s="120"/>
      <c r="I8" s="89">
        <v>58.8</v>
      </c>
      <c r="J8" s="85">
        <f t="shared" si="0"/>
        <v>52.214305224557648</v>
      </c>
      <c r="K8" s="85">
        <f t="shared" si="0"/>
        <v>47.610762271312716</v>
      </c>
      <c r="L8" s="85">
        <f t="shared" si="6"/>
        <v>44.244673609478959</v>
      </c>
      <c r="M8" s="85">
        <f t="shared" si="7"/>
        <v>41.807764018161251</v>
      </c>
      <c r="N8" s="90" t="s">
        <v>74</v>
      </c>
      <c r="O8" s="92" t="s">
        <v>108</v>
      </c>
    </row>
    <row r="9" spans="1:19" s="36" customFormat="1" ht="72.900000000000006" x14ac:dyDescent="0.4">
      <c r="A9" s="33" t="s">
        <v>56</v>
      </c>
      <c r="B9" s="65" t="s">
        <v>113</v>
      </c>
      <c r="C9" s="33">
        <v>1.6000000000000001E-3</v>
      </c>
      <c r="D9" s="62" t="s">
        <v>70</v>
      </c>
      <c r="E9" s="120"/>
      <c r="F9" s="120"/>
      <c r="G9" s="120"/>
      <c r="H9" s="120"/>
      <c r="I9" s="67">
        <v>7.47E-5</v>
      </c>
      <c r="J9" s="73">
        <f>$C9/21.4</f>
        <v>7.4766355140186921E-5</v>
      </c>
      <c r="K9" s="73">
        <f t="shared" ref="K9:M9" si="8">$C9/21.4</f>
        <v>7.4766355140186921E-5</v>
      </c>
      <c r="L9" s="73">
        <f t="shared" si="8"/>
        <v>7.4766355140186921E-5</v>
      </c>
      <c r="M9" s="73">
        <f t="shared" si="8"/>
        <v>7.4766355140186921E-5</v>
      </c>
      <c r="N9" s="74" t="s">
        <v>71</v>
      </c>
      <c r="O9" s="62" t="s">
        <v>102</v>
      </c>
    </row>
    <row r="10" spans="1:19" s="36" customFormat="1" ht="58.3" x14ac:dyDescent="0.4">
      <c r="A10" s="33" t="s">
        <v>57</v>
      </c>
      <c r="B10" s="84" t="s">
        <v>112</v>
      </c>
      <c r="C10" s="67">
        <v>540000000</v>
      </c>
      <c r="D10" s="65" t="s">
        <v>77</v>
      </c>
      <c r="E10" s="120"/>
      <c r="F10" s="120"/>
      <c r="G10" s="120"/>
      <c r="H10" s="120"/>
      <c r="I10" s="67">
        <v>7.8E-2</v>
      </c>
      <c r="J10" s="100">
        <f>$C10/E$3</f>
        <v>6.9276965162803752E-2</v>
      </c>
      <c r="K10" s="100">
        <f t="shared" ref="K10:M11" si="9">$C10/F$3</f>
        <v>6.316907033540263E-2</v>
      </c>
      <c r="L10" s="100">
        <f t="shared" si="9"/>
        <v>5.8703006754591246E-2</v>
      </c>
      <c r="M10" s="100">
        <f t="shared" si="9"/>
        <v>5.5469760613776599E-2</v>
      </c>
      <c r="N10" s="78" t="s">
        <v>78</v>
      </c>
      <c r="O10" s="62" t="s">
        <v>79</v>
      </c>
    </row>
    <row r="11" spans="1:19" s="36" customFormat="1" ht="43.75" x14ac:dyDescent="0.4">
      <c r="A11" s="33" t="s">
        <v>58</v>
      </c>
      <c r="B11" s="84" t="s">
        <v>112</v>
      </c>
      <c r="C11" s="67">
        <f>1.05*100000000000000/0.81</f>
        <v>129629629629629.63</v>
      </c>
      <c r="D11" s="65" t="s">
        <v>59</v>
      </c>
      <c r="E11" s="120"/>
      <c r="F11" s="120"/>
      <c r="G11" s="120"/>
      <c r="H11" s="120"/>
      <c r="I11" s="64">
        <v>19000</v>
      </c>
      <c r="J11" s="85">
        <f>$C11/E$3</f>
        <v>16630.272844294454</v>
      </c>
      <c r="K11" s="85">
        <f t="shared" si="9"/>
        <v>15164.042947456048</v>
      </c>
      <c r="L11" s="85">
        <f t="shared" si="9"/>
        <v>14091.942636561684</v>
      </c>
      <c r="M11" s="85">
        <f t="shared" si="9"/>
        <v>13315.786155570513</v>
      </c>
      <c r="N11" s="76" t="s">
        <v>76</v>
      </c>
      <c r="O11" s="62" t="s">
        <v>84</v>
      </c>
    </row>
    <row r="12" spans="1:19" s="36" customFormat="1" ht="43.75" customHeight="1" x14ac:dyDescent="0.4">
      <c r="A12" s="33" t="s">
        <v>60</v>
      </c>
      <c r="B12" s="65" t="s">
        <v>113</v>
      </c>
      <c r="C12" s="33">
        <v>1.6000000000000001E-3</v>
      </c>
      <c r="D12" s="62" t="s">
        <v>70</v>
      </c>
      <c r="E12" s="120"/>
      <c r="F12" s="120"/>
      <c r="G12" s="120"/>
      <c r="H12" s="120"/>
      <c r="I12" s="67">
        <v>1.3899999999999999E-4</v>
      </c>
      <c r="J12" s="73">
        <f>$C12/11.5</f>
        <v>1.3913043478260871E-4</v>
      </c>
      <c r="K12" s="73">
        <f t="shared" ref="K12:M12" si="10">$C12/11.5</f>
        <v>1.3913043478260871E-4</v>
      </c>
      <c r="L12" s="73">
        <f t="shared" si="10"/>
        <v>1.3913043478260871E-4</v>
      </c>
      <c r="M12" s="73">
        <f t="shared" si="10"/>
        <v>1.3913043478260871E-4</v>
      </c>
      <c r="N12" s="74" t="s">
        <v>72</v>
      </c>
      <c r="O12" s="111" t="s">
        <v>103</v>
      </c>
    </row>
    <row r="13" spans="1:19" s="36" customFormat="1" x14ac:dyDescent="0.4">
      <c r="A13" s="33" t="s">
        <v>61</v>
      </c>
      <c r="B13" s="65" t="s">
        <v>113</v>
      </c>
      <c r="C13" s="33">
        <v>1.6000000000000001E-3</v>
      </c>
      <c r="D13" s="62" t="s">
        <v>70</v>
      </c>
      <c r="E13" s="120"/>
      <c r="F13" s="120"/>
      <c r="G13" s="120"/>
      <c r="H13" s="120"/>
      <c r="I13" s="67">
        <v>5.9299999999999999E-4</v>
      </c>
      <c r="J13" s="73">
        <f>$C13/2.7</f>
        <v>5.9259259259259258E-4</v>
      </c>
      <c r="K13" s="73">
        <f t="shared" ref="K13:M13" si="11">$C13/2.7</f>
        <v>5.9259259259259258E-4</v>
      </c>
      <c r="L13" s="73">
        <f t="shared" si="11"/>
        <v>5.9259259259259258E-4</v>
      </c>
      <c r="M13" s="73">
        <f t="shared" si="11"/>
        <v>5.9259259259259258E-4</v>
      </c>
      <c r="N13" s="74" t="s">
        <v>72</v>
      </c>
      <c r="O13" s="111"/>
    </row>
    <row r="14" spans="1:19" s="36" customFormat="1" x14ac:dyDescent="0.4">
      <c r="A14" s="33" t="s">
        <v>62</v>
      </c>
      <c r="B14" s="65" t="s">
        <v>113</v>
      </c>
      <c r="C14" s="33">
        <v>1.6000000000000001E-3</v>
      </c>
      <c r="D14" s="62" t="s">
        <v>70</v>
      </c>
      <c r="E14" s="120"/>
      <c r="F14" s="120"/>
      <c r="G14" s="120"/>
      <c r="H14" s="120"/>
      <c r="I14" s="68">
        <v>76200</v>
      </c>
      <c r="J14" s="72">
        <f>$C14/0.000000021</f>
        <v>76190.476190476198</v>
      </c>
      <c r="K14" s="72">
        <f t="shared" ref="K14:M14" si="12">$C14/0.000000021</f>
        <v>76190.476190476198</v>
      </c>
      <c r="L14" s="72">
        <f t="shared" si="12"/>
        <v>76190.476190476198</v>
      </c>
      <c r="M14" s="72">
        <f t="shared" si="12"/>
        <v>76190.476190476198</v>
      </c>
      <c r="N14" s="74" t="s">
        <v>73</v>
      </c>
      <c r="O14" s="111"/>
    </row>
    <row r="15" spans="1:19" s="36" customFormat="1" x14ac:dyDescent="0.4">
      <c r="A15" s="33" t="s">
        <v>63</v>
      </c>
      <c r="B15" s="84" t="s">
        <v>112</v>
      </c>
      <c r="C15" s="67">
        <f>448262160340313/2</f>
        <v>224131080170156.5</v>
      </c>
      <c r="D15" s="65" t="s">
        <v>95</v>
      </c>
      <c r="E15" s="120"/>
      <c r="F15" s="120"/>
      <c r="G15" s="120"/>
      <c r="H15" s="120"/>
      <c r="I15" s="64">
        <v>32400</v>
      </c>
      <c r="J15" s="85">
        <f>$C15/E$3</f>
        <v>28753.927838610198</v>
      </c>
      <c r="K15" s="85">
        <f t="shared" ref="K15:M18" si="13">$C15/F$3</f>
        <v>26218.799940034038</v>
      </c>
      <c r="L15" s="85">
        <f t="shared" si="13"/>
        <v>24365.126505819499</v>
      </c>
      <c r="M15" s="85">
        <f t="shared" si="13"/>
        <v>23023.143265084727</v>
      </c>
      <c r="N15" s="76" t="s">
        <v>92</v>
      </c>
      <c r="O15" s="107" t="s">
        <v>94</v>
      </c>
    </row>
    <row r="16" spans="1:19" s="36" customFormat="1" x14ac:dyDescent="0.4">
      <c r="A16" s="33" t="s">
        <v>64</v>
      </c>
      <c r="B16" s="84" t="s">
        <v>112</v>
      </c>
      <c r="C16" s="67">
        <f>438856295.720832/2</f>
        <v>219428147.860416</v>
      </c>
      <c r="D16" s="65" t="s">
        <v>96</v>
      </c>
      <c r="E16" s="120"/>
      <c r="F16" s="120"/>
      <c r="G16" s="120"/>
      <c r="H16" s="120"/>
      <c r="I16" s="67">
        <v>3.1800000000000002E-2</v>
      </c>
      <c r="J16" s="100">
        <f>$C16/E$3</f>
        <v>2.8150585472341835E-2</v>
      </c>
      <c r="K16" s="100">
        <f t="shared" si="13"/>
        <v>2.5668652047706936E-2</v>
      </c>
      <c r="L16" s="100">
        <f t="shared" si="13"/>
        <v>2.385387415925453E-2</v>
      </c>
      <c r="M16" s="100">
        <f t="shared" si="13"/>
        <v>2.2540049692114168E-2</v>
      </c>
      <c r="N16" s="81" t="s">
        <v>93</v>
      </c>
      <c r="O16" s="108"/>
    </row>
    <row r="17" spans="1:16" s="87" customFormat="1" x14ac:dyDescent="0.4">
      <c r="A17" s="82" t="s">
        <v>65</v>
      </c>
      <c r="B17" s="84" t="s">
        <v>112</v>
      </c>
      <c r="C17" s="83">
        <v>12700000000000</v>
      </c>
      <c r="D17" s="84" t="s">
        <v>86</v>
      </c>
      <c r="E17" s="120"/>
      <c r="F17" s="120"/>
      <c r="G17" s="120"/>
      <c r="H17" s="120"/>
      <c r="I17" s="86">
        <v>1840</v>
      </c>
      <c r="J17" s="85">
        <f>$C17/E$3</f>
        <v>1629.2915880881624</v>
      </c>
      <c r="K17" s="85">
        <f t="shared" si="13"/>
        <v>1485.6429504807654</v>
      </c>
      <c r="L17" s="85">
        <f t="shared" si="13"/>
        <v>1380.6077514505719</v>
      </c>
      <c r="M17" s="85">
        <f t="shared" si="13"/>
        <v>1304.5665922128942</v>
      </c>
      <c r="N17" s="88" t="s">
        <v>87</v>
      </c>
      <c r="O17" s="92" t="s">
        <v>88</v>
      </c>
    </row>
    <row r="18" spans="1:16" s="36" customFormat="1" ht="29.15" x14ac:dyDescent="0.4">
      <c r="A18" s="33" t="s">
        <v>66</v>
      </c>
      <c r="B18" s="84" t="s">
        <v>112</v>
      </c>
      <c r="C18" s="67">
        <v>182000000000000</v>
      </c>
      <c r="D18" s="65" t="s">
        <v>90</v>
      </c>
      <c r="E18" s="121"/>
      <c r="F18" s="121"/>
      <c r="G18" s="121"/>
      <c r="H18" s="121"/>
      <c r="I18" s="64">
        <v>26300</v>
      </c>
      <c r="J18" s="85">
        <f>$C18/E$3</f>
        <v>23348.903073389414</v>
      </c>
      <c r="K18" s="85">
        <f t="shared" si="13"/>
        <v>21290.316298228292</v>
      </c>
      <c r="L18" s="85">
        <f t="shared" si="13"/>
        <v>19785.087461732604</v>
      </c>
      <c r="M18" s="85">
        <f t="shared" si="13"/>
        <v>18695.363762421002</v>
      </c>
      <c r="N18" s="76" t="s">
        <v>89</v>
      </c>
      <c r="O18" s="62" t="s">
        <v>91</v>
      </c>
    </row>
    <row r="19" spans="1:16" s="36" customFormat="1" x14ac:dyDescent="0.4">
      <c r="D19" s="70"/>
      <c r="E19" s="70"/>
      <c r="F19" s="70"/>
      <c r="G19" s="70"/>
      <c r="H19" s="70"/>
      <c r="I19" s="69"/>
      <c r="J19" s="69"/>
      <c r="N19" s="69"/>
      <c r="O19" s="70"/>
    </row>
    <row r="20" spans="1:16" s="36" customFormat="1" x14ac:dyDescent="0.4">
      <c r="D20" s="70"/>
      <c r="E20" s="70"/>
      <c r="F20" s="70"/>
      <c r="G20" s="70"/>
      <c r="H20" s="102"/>
      <c r="I20" s="69"/>
      <c r="J20" s="69"/>
      <c r="N20" s="69"/>
      <c r="O20" s="77"/>
    </row>
    <row r="21" spans="1:16" x14ac:dyDescent="0.4">
      <c r="H21" s="103"/>
      <c r="O21" s="71"/>
    </row>
    <row r="22" spans="1:16" x14ac:dyDescent="0.4">
      <c r="E22" s="104"/>
      <c r="H22" s="103"/>
      <c r="I22" s="17"/>
      <c r="J22" s="17"/>
      <c r="N22" s="17"/>
      <c r="O22" s="71"/>
    </row>
    <row r="23" spans="1:16" x14ac:dyDescent="0.4">
      <c r="H23" s="103"/>
      <c r="I23" s="17"/>
      <c r="J23" s="17"/>
      <c r="N23" s="17"/>
      <c r="P23" s="63"/>
    </row>
    <row r="24" spans="1:16" x14ac:dyDescent="0.4">
      <c r="H24" s="103"/>
      <c r="I24" s="17"/>
      <c r="J24" s="17"/>
      <c r="N24" s="17"/>
    </row>
    <row r="25" spans="1:16" x14ac:dyDescent="0.4">
      <c r="H25" s="103"/>
      <c r="I25" s="17"/>
      <c r="J25" s="17"/>
      <c r="N25" s="17"/>
      <c r="P25" s="63"/>
    </row>
    <row r="26" spans="1:16" x14ac:dyDescent="0.4">
      <c r="H26" s="103"/>
      <c r="I26" s="17"/>
      <c r="J26" s="17"/>
      <c r="N26" s="17"/>
    </row>
    <row r="27" spans="1:16" x14ac:dyDescent="0.4">
      <c r="H27" s="103"/>
      <c r="I27" s="17"/>
      <c r="J27" s="17"/>
      <c r="N27" s="17"/>
      <c r="P27" s="63"/>
    </row>
    <row r="28" spans="1:16" x14ac:dyDescent="0.4">
      <c r="H28" s="103"/>
    </row>
    <row r="29" spans="1:16" x14ac:dyDescent="0.4">
      <c r="H29" s="103"/>
    </row>
    <row r="30" spans="1:16" x14ac:dyDescent="0.4">
      <c r="H30" s="103"/>
      <c r="O30" s="71"/>
    </row>
    <row r="32" spans="1:16" x14ac:dyDescent="0.4">
      <c r="O32" s="71"/>
    </row>
  </sheetData>
  <mergeCells count="12">
    <mergeCell ref="A1:A2"/>
    <mergeCell ref="I1:M1"/>
    <mergeCell ref="E1:H1"/>
    <mergeCell ref="E3:E18"/>
    <mergeCell ref="F3:F18"/>
    <mergeCell ref="G3:G18"/>
    <mergeCell ref="H3:H18"/>
    <mergeCell ref="O15:O16"/>
    <mergeCell ref="O1:O2"/>
    <mergeCell ref="O12:O14"/>
    <mergeCell ref="O5:O6"/>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workbookViewId="0">
      <selection activeCell="F18" sqref="F18"/>
    </sheetView>
  </sheetViews>
  <sheetFormatPr defaultRowHeight="14.6" x14ac:dyDescent="0.4"/>
  <cols>
    <col min="1" max="1" width="4.3828125" customWidth="1"/>
    <col min="2" max="2" width="6.3828125" customWidth="1"/>
    <col min="3" max="3" width="12.3828125" customWidth="1"/>
    <col min="5" max="5" width="11.69140625" customWidth="1"/>
  </cols>
  <sheetData>
    <row r="1" spans="1:8" ht="18.45" x14ac:dyDescent="0.5">
      <c r="A1" s="1" t="s">
        <v>0</v>
      </c>
      <c r="B1" s="2"/>
    </row>
    <row r="2" spans="1:8" x14ac:dyDescent="0.4">
      <c r="B2" s="3"/>
      <c r="C2" s="4" t="s">
        <v>1</v>
      </c>
      <c r="D2" s="4"/>
      <c r="E2" s="4"/>
      <c r="F2" s="4"/>
      <c r="G2" s="4"/>
    </row>
    <row r="3" spans="1:8" x14ac:dyDescent="0.4">
      <c r="B3" s="4" t="s">
        <v>2</v>
      </c>
      <c r="C3" s="5">
        <v>0.17</v>
      </c>
      <c r="D3" s="5">
        <v>0.33</v>
      </c>
      <c r="E3" s="5">
        <v>0.5</v>
      </c>
      <c r="F3" s="5">
        <v>0.67</v>
      </c>
      <c r="G3" s="5">
        <v>0.83</v>
      </c>
      <c r="H3" s="6"/>
    </row>
    <row r="4" spans="1:8" x14ac:dyDescent="0.4">
      <c r="A4" s="122" t="s">
        <v>3</v>
      </c>
      <c r="B4" s="7">
        <v>1.5</v>
      </c>
      <c r="C4" s="4">
        <v>900</v>
      </c>
      <c r="D4" s="4">
        <v>650</v>
      </c>
      <c r="E4" s="4">
        <v>500</v>
      </c>
      <c r="F4" s="4">
        <v>400</v>
      </c>
      <c r="G4" s="4">
        <v>300</v>
      </c>
    </row>
    <row r="5" spans="1:8" x14ac:dyDescent="0.4">
      <c r="A5" s="122"/>
      <c r="B5" s="7">
        <v>1.7</v>
      </c>
      <c r="C5" s="4">
        <v>1450</v>
      </c>
      <c r="D5" s="4">
        <v>1050</v>
      </c>
      <c r="E5" s="4">
        <v>850</v>
      </c>
      <c r="F5" s="4">
        <v>700</v>
      </c>
      <c r="G5" s="4">
        <v>550</v>
      </c>
    </row>
    <row r="6" spans="1:8" x14ac:dyDescent="0.4">
      <c r="A6" s="122"/>
      <c r="B6" s="8">
        <v>2</v>
      </c>
      <c r="C6" s="4">
        <v>2300</v>
      </c>
      <c r="D6" s="4">
        <v>1700</v>
      </c>
      <c r="E6" s="4">
        <v>1350</v>
      </c>
      <c r="F6" s="4">
        <v>1150</v>
      </c>
      <c r="G6" s="4">
        <v>900</v>
      </c>
    </row>
    <row r="8" spans="1:8" x14ac:dyDescent="0.4">
      <c r="B8" s="9" t="s">
        <v>4</v>
      </c>
    </row>
    <row r="9" spans="1:8" x14ac:dyDescent="0.4">
      <c r="B9" s="123">
        <f>SUM(Population_UP!B14:B94)*1000</f>
        <v>799098891918.00012</v>
      </c>
      <c r="C9" s="123"/>
      <c r="D9" s="10"/>
    </row>
    <row r="10" spans="1:8" x14ac:dyDescent="0.4">
      <c r="B10" s="10"/>
      <c r="C10" s="10"/>
      <c r="D10" s="10"/>
    </row>
    <row r="11" spans="1:8" ht="18.45" x14ac:dyDescent="0.5">
      <c r="A11" s="11" t="s">
        <v>5</v>
      </c>
      <c r="C11" s="10"/>
      <c r="D11" s="10"/>
    </row>
    <row r="12" spans="1:8" x14ac:dyDescent="0.4">
      <c r="B12" s="12"/>
      <c r="C12" s="124" t="s">
        <v>1</v>
      </c>
      <c r="D12" s="124"/>
      <c r="E12" s="124"/>
      <c r="F12" s="124"/>
      <c r="G12" s="124"/>
    </row>
    <row r="13" spans="1:8" ht="15" thickBot="1" x14ac:dyDescent="0.45">
      <c r="B13" s="12"/>
      <c r="C13" s="13">
        <v>0.17</v>
      </c>
      <c r="D13" s="13">
        <v>0.33</v>
      </c>
      <c r="E13" s="13">
        <v>0.5</v>
      </c>
      <c r="F13" s="13">
        <v>0.67</v>
      </c>
      <c r="G13" s="13">
        <v>0.83</v>
      </c>
    </row>
    <row r="14" spans="1:8" ht="15" thickTop="1" x14ac:dyDescent="0.4">
      <c r="A14" s="125" t="s">
        <v>3</v>
      </c>
      <c r="B14" s="14">
        <v>1.5</v>
      </c>
      <c r="C14" s="15">
        <f t="shared" ref="C14:G16" si="0">C4*1000000000000/$B$9</f>
        <v>1126.2686121861798</v>
      </c>
      <c r="D14" s="50">
        <f t="shared" si="0"/>
        <v>813.41621991224088</v>
      </c>
      <c r="E14" s="50">
        <f t="shared" si="0"/>
        <v>625.70478454787758</v>
      </c>
      <c r="F14" s="52">
        <f t="shared" si="0"/>
        <v>500.56382763830209</v>
      </c>
      <c r="G14" s="51">
        <f t="shared" si="0"/>
        <v>375.42287072872654</v>
      </c>
    </row>
    <row r="15" spans="1:8" x14ac:dyDescent="0.4">
      <c r="A15" s="125"/>
      <c r="B15" s="14">
        <v>1.7</v>
      </c>
      <c r="C15" s="15">
        <f t="shared" si="0"/>
        <v>1814.543875188845</v>
      </c>
      <c r="D15" s="50">
        <f t="shared" si="0"/>
        <v>1313.9800475505431</v>
      </c>
      <c r="E15" s="50">
        <f t="shared" si="0"/>
        <v>1063.6981337313919</v>
      </c>
      <c r="F15" s="53">
        <f t="shared" si="0"/>
        <v>875.98669836702868</v>
      </c>
      <c r="G15" s="51">
        <f t="shared" si="0"/>
        <v>688.27526300266538</v>
      </c>
    </row>
    <row r="16" spans="1:8" ht="15" thickBot="1" x14ac:dyDescent="0.45">
      <c r="A16" s="125"/>
      <c r="B16" s="16">
        <v>2</v>
      </c>
      <c r="C16" s="15">
        <f t="shared" si="0"/>
        <v>2878.2420089202369</v>
      </c>
      <c r="D16" s="50">
        <f t="shared" si="0"/>
        <v>2127.3962674627837</v>
      </c>
      <c r="E16" s="50">
        <f t="shared" si="0"/>
        <v>1689.4029182792694</v>
      </c>
      <c r="F16" s="54">
        <f t="shared" si="0"/>
        <v>1439.1210044601185</v>
      </c>
      <c r="G16" s="51">
        <f t="shared" si="0"/>
        <v>1126.2686121861798</v>
      </c>
    </row>
    <row r="17" spans="2:7" ht="15" thickTop="1" x14ac:dyDescent="0.4">
      <c r="C17" s="17"/>
      <c r="D17" s="17"/>
      <c r="E17" s="17"/>
      <c r="F17" s="17"/>
      <c r="G17" s="17"/>
    </row>
    <row r="18" spans="2:7" x14ac:dyDescent="0.4">
      <c r="C18" s="18">
        <f>F4</f>
        <v>400</v>
      </c>
      <c r="D18" s="17" t="s">
        <v>6</v>
      </c>
      <c r="E18" s="17"/>
      <c r="F18" s="17"/>
      <c r="G18" s="17"/>
    </row>
    <row r="19" spans="2:7" x14ac:dyDescent="0.4">
      <c r="C19" s="19">
        <f>C18/81</f>
        <v>4.9382716049382713</v>
      </c>
      <c r="D19" s="17" t="s">
        <v>7</v>
      </c>
      <c r="E19" s="17"/>
      <c r="F19" s="17"/>
      <c r="G19" s="17"/>
    </row>
    <row r="20" spans="2:7" s="21" customFormat="1" ht="29.15" x14ac:dyDescent="0.4">
      <c r="B20" s="20" t="s">
        <v>8</v>
      </c>
      <c r="C20" s="20" t="s">
        <v>9</v>
      </c>
      <c r="D20" s="42" t="s">
        <v>10</v>
      </c>
      <c r="E20" s="43" t="s">
        <v>11</v>
      </c>
      <c r="F20" s="46" t="s">
        <v>12</v>
      </c>
      <c r="G20" s="47" t="s">
        <v>13</v>
      </c>
    </row>
    <row r="21" spans="2:7" x14ac:dyDescent="0.4">
      <c r="B21" s="22">
        <v>2020</v>
      </c>
      <c r="C21" s="23">
        <f>Population_UP!B14*1000</f>
        <v>7794798729</v>
      </c>
      <c r="D21" s="44">
        <f>$C$19*1000000000000/C21</f>
        <v>633.53420359216966</v>
      </c>
      <c r="E21" s="45">
        <f>(D21/1000000000000)*C21</f>
        <v>4.9382716049382713</v>
      </c>
      <c r="F21" s="48">
        <f>$C$18*1000000000000/SUM($C$21:$C$101)</f>
        <v>500.56382763830214</v>
      </c>
      <c r="G21" s="49">
        <f>(F21/1000000000000)*C21</f>
        <v>3.9017942874584124</v>
      </c>
    </row>
    <row r="22" spans="2:7" x14ac:dyDescent="0.4">
      <c r="B22" s="22">
        <v>2021</v>
      </c>
      <c r="C22" s="23">
        <f>Population_UP!B15*1000</f>
        <v>7874965731.9999895</v>
      </c>
      <c r="D22" s="44">
        <f t="shared" ref="D22:D85" si="1">$C$19*1000000000000/C22</f>
        <v>627.08483731828358</v>
      </c>
      <c r="E22" s="45">
        <f t="shared" ref="E22:E85" si="2">(D22/1000000000000)*C22</f>
        <v>4.9382716049382713</v>
      </c>
      <c r="F22" s="48">
        <f t="shared" ref="F22:F85" si="3">$C$18*1000000000000/SUM($C$21:$C$101)</f>
        <v>500.56382763830214</v>
      </c>
      <c r="G22" s="49">
        <f t="shared" ref="G22:G85" si="4">(F22/1000000000000)*C22</f>
        <v>3.9419229893303784</v>
      </c>
    </row>
    <row r="23" spans="2:7" x14ac:dyDescent="0.4">
      <c r="B23" s="22">
        <v>2022</v>
      </c>
      <c r="C23" s="23">
        <f>Population_UP!B16*1000</f>
        <v>7953952577</v>
      </c>
      <c r="D23" s="44">
        <f t="shared" si="1"/>
        <v>620.85756196460056</v>
      </c>
      <c r="E23" s="45">
        <f t="shared" si="2"/>
        <v>4.9382716049382713</v>
      </c>
      <c r="F23" s="48">
        <f t="shared" si="3"/>
        <v>500.56382763830214</v>
      </c>
      <c r="G23" s="49">
        <f t="shared" si="4"/>
        <v>3.9814609467966573</v>
      </c>
    </row>
    <row r="24" spans="2:7" x14ac:dyDescent="0.4">
      <c r="B24" s="22">
        <v>2023</v>
      </c>
      <c r="C24" s="23">
        <f>Population_UP!B17*1000</f>
        <v>8031800338</v>
      </c>
      <c r="D24" s="44">
        <f t="shared" si="1"/>
        <v>614.83993589511351</v>
      </c>
      <c r="E24" s="45">
        <f t="shared" si="2"/>
        <v>4.9382716049382704</v>
      </c>
      <c r="F24" s="48">
        <f t="shared" si="3"/>
        <v>500.56382763830214</v>
      </c>
      <c r="G24" s="49">
        <f t="shared" si="4"/>
        <v>4.0204287200158886</v>
      </c>
    </row>
    <row r="25" spans="2:7" x14ac:dyDescent="0.4">
      <c r="B25" s="22">
        <v>2024</v>
      </c>
      <c r="C25" s="23">
        <f>Population_UP!B18*1000</f>
        <v>8108605255</v>
      </c>
      <c r="D25" s="44">
        <f t="shared" si="1"/>
        <v>609.01615624871988</v>
      </c>
      <c r="E25" s="45">
        <f t="shared" si="2"/>
        <v>4.9382716049382713</v>
      </c>
      <c r="F25" s="48">
        <f t="shared" si="3"/>
        <v>500.56382763830214</v>
      </c>
      <c r="G25" s="49">
        <f t="shared" si="4"/>
        <v>4.0588744832508512</v>
      </c>
    </row>
    <row r="26" spans="2:7" x14ac:dyDescent="0.4">
      <c r="B26" s="22">
        <v>2025</v>
      </c>
      <c r="C26" s="23">
        <f>Population_UP!B19*1000</f>
        <v>8184437453</v>
      </c>
      <c r="D26" s="44">
        <f t="shared" si="1"/>
        <v>603.37336967834619</v>
      </c>
      <c r="E26" s="45">
        <f t="shared" si="2"/>
        <v>4.9382716049382713</v>
      </c>
      <c r="F26" s="48">
        <f t="shared" si="3"/>
        <v>500.56382763830214</v>
      </c>
      <c r="G26" s="49">
        <f t="shared" si="4"/>
        <v>4.0968333385399562</v>
      </c>
    </row>
    <row r="27" spans="2:7" x14ac:dyDescent="0.4">
      <c r="B27" s="22">
        <v>2026</v>
      </c>
      <c r="C27" s="23">
        <f>Population_UP!B20*1000</f>
        <v>8259276650.9999905</v>
      </c>
      <c r="D27" s="44">
        <f t="shared" si="1"/>
        <v>597.9060653381033</v>
      </c>
      <c r="E27" s="45">
        <f t="shared" si="2"/>
        <v>4.9382716049382713</v>
      </c>
      <c r="F27" s="48">
        <f t="shared" si="3"/>
        <v>500.56382763830214</v>
      </c>
      <c r="G27" s="49">
        <f t="shared" si="4"/>
        <v>4.1342951339482124</v>
      </c>
    </row>
    <row r="28" spans="2:7" x14ac:dyDescent="0.4">
      <c r="B28" s="22">
        <v>2027</v>
      </c>
      <c r="C28" s="23">
        <f>Population_UP!B21*1000</f>
        <v>8333078318</v>
      </c>
      <c r="D28" s="44">
        <f t="shared" si="1"/>
        <v>592.61072757125999</v>
      </c>
      <c r="E28" s="45">
        <f t="shared" si="2"/>
        <v>4.9382716049382713</v>
      </c>
      <c r="F28" s="48">
        <f t="shared" si="3"/>
        <v>500.56382763830214</v>
      </c>
      <c r="G28" s="49">
        <f t="shared" si="4"/>
        <v>4.1712375788678244</v>
      </c>
    </row>
    <row r="29" spans="2:7" x14ac:dyDescent="0.4">
      <c r="B29" s="22">
        <v>2028</v>
      </c>
      <c r="C29" s="23">
        <f>Population_UP!B22*1000</f>
        <v>8405863301.000001</v>
      </c>
      <c r="D29" s="44">
        <f t="shared" si="1"/>
        <v>587.47940908708233</v>
      </c>
      <c r="E29" s="45">
        <f t="shared" si="2"/>
        <v>4.9382716049382713</v>
      </c>
      <c r="F29" s="48">
        <f t="shared" si="3"/>
        <v>500.56382763830214</v>
      </c>
      <c r="G29" s="49">
        <f t="shared" si="4"/>
        <v>4.2076711085528942</v>
      </c>
    </row>
    <row r="30" spans="2:7" x14ac:dyDescent="0.4">
      <c r="B30" s="22">
        <v>2029</v>
      </c>
      <c r="C30" s="23">
        <f>Population_UP!B23*1000</f>
        <v>8477660723.0000105</v>
      </c>
      <c r="D30" s="44">
        <f t="shared" si="1"/>
        <v>582.50403811757553</v>
      </c>
      <c r="E30" s="45">
        <f t="shared" si="2"/>
        <v>4.9382716049382713</v>
      </c>
      <c r="F30" s="48">
        <f t="shared" si="3"/>
        <v>500.56382763830214</v>
      </c>
      <c r="G30" s="49">
        <f t="shared" si="4"/>
        <v>4.2436103009237813</v>
      </c>
    </row>
    <row r="31" spans="2:7" x14ac:dyDescent="0.4">
      <c r="B31" s="22">
        <v>2030</v>
      </c>
      <c r="C31" s="23">
        <f>Population_UP!B24*1000</f>
        <v>8548487370.999999</v>
      </c>
      <c r="D31" s="44">
        <f t="shared" si="1"/>
        <v>577.67782656975419</v>
      </c>
      <c r="E31" s="45">
        <f t="shared" si="2"/>
        <v>4.9382716049382722</v>
      </c>
      <c r="F31" s="48">
        <f t="shared" si="3"/>
        <v>500.56382763830214</v>
      </c>
      <c r="G31" s="49">
        <f t="shared" si="4"/>
        <v>4.2790635589454462</v>
      </c>
    </row>
    <row r="32" spans="2:7" x14ac:dyDescent="0.4">
      <c r="B32" s="22">
        <v>2031</v>
      </c>
      <c r="C32" s="23">
        <f>Population_UP!B25*1000</f>
        <v>8618349453.9999905</v>
      </c>
      <c r="D32" s="44">
        <f t="shared" si="1"/>
        <v>572.99505332152626</v>
      </c>
      <c r="E32" s="45">
        <f t="shared" si="2"/>
        <v>4.9382716049382713</v>
      </c>
      <c r="F32" s="48">
        <f t="shared" si="3"/>
        <v>500.56382763830214</v>
      </c>
      <c r="G32" s="49">
        <f t="shared" si="4"/>
        <v>4.3140339906187064</v>
      </c>
    </row>
    <row r="33" spans="2:7" x14ac:dyDescent="0.4">
      <c r="B33" s="22">
        <v>2032</v>
      </c>
      <c r="C33" s="23">
        <f>Population_UP!B26*1000</f>
        <v>8687227873</v>
      </c>
      <c r="D33" s="44">
        <f t="shared" si="1"/>
        <v>568.45194774808135</v>
      </c>
      <c r="E33" s="45">
        <f t="shared" si="2"/>
        <v>4.9382716049382722</v>
      </c>
      <c r="F33" s="48">
        <f t="shared" si="3"/>
        <v>500.56382763830214</v>
      </c>
      <c r="G33" s="49">
        <f t="shared" si="4"/>
        <v>4.348512035675026</v>
      </c>
    </row>
    <row r="34" spans="2:7" x14ac:dyDescent="0.4">
      <c r="B34" s="22">
        <v>2033</v>
      </c>
      <c r="C34" s="23">
        <f>Population_UP!B27*1000</f>
        <v>8755083512</v>
      </c>
      <c r="D34" s="44">
        <f t="shared" si="1"/>
        <v>564.04620220580614</v>
      </c>
      <c r="E34" s="45">
        <f t="shared" si="2"/>
        <v>4.9382716049382713</v>
      </c>
      <c r="F34" s="48">
        <f t="shared" si="3"/>
        <v>500.56382763830214</v>
      </c>
      <c r="G34" s="49">
        <f t="shared" si="4"/>
        <v>4.3824781140597091</v>
      </c>
    </row>
    <row r="35" spans="2:7" x14ac:dyDescent="0.4">
      <c r="B35" s="22">
        <v>2034</v>
      </c>
      <c r="C35" s="23">
        <f>Population_UP!B28*1000</f>
        <v>8821862705</v>
      </c>
      <c r="D35" s="44">
        <f t="shared" si="1"/>
        <v>559.77652000176658</v>
      </c>
      <c r="E35" s="45">
        <f t="shared" si="2"/>
        <v>4.9382716049382713</v>
      </c>
      <c r="F35" s="48">
        <f t="shared" si="3"/>
        <v>500.56382763830214</v>
      </c>
      <c r="G35" s="49">
        <f t="shared" si="4"/>
        <v>4.415905362514386</v>
      </c>
    </row>
    <row r="36" spans="2:7" x14ac:dyDescent="0.4">
      <c r="B36" s="22">
        <v>2035</v>
      </c>
      <c r="C36" s="23">
        <f>Population_UP!B29*1000</f>
        <v>8887524229</v>
      </c>
      <c r="D36" s="44">
        <f t="shared" si="1"/>
        <v>555.64085989489479</v>
      </c>
      <c r="E36" s="45">
        <f t="shared" si="2"/>
        <v>4.9382716049382713</v>
      </c>
      <c r="F36" s="48">
        <f t="shared" si="3"/>
        <v>500.56382763830214</v>
      </c>
      <c r="G36" s="49">
        <f t="shared" si="4"/>
        <v>4.4487731462963902</v>
      </c>
    </row>
    <row r="37" spans="2:7" x14ac:dyDescent="0.4">
      <c r="B37" s="22">
        <v>2036</v>
      </c>
      <c r="C37" s="23">
        <f>Population_UP!B30*1000</f>
        <v>8952048885.0000095</v>
      </c>
      <c r="D37" s="44">
        <f t="shared" si="1"/>
        <v>551.63590686069699</v>
      </c>
      <c r="E37" s="45">
        <f t="shared" si="2"/>
        <v>4.9382716049382722</v>
      </c>
      <c r="F37" s="48">
        <f t="shared" si="3"/>
        <v>500.56382763830214</v>
      </c>
      <c r="G37" s="49">
        <f t="shared" si="4"/>
        <v>4.4810718550808</v>
      </c>
    </row>
    <row r="38" spans="2:7" x14ac:dyDescent="0.4">
      <c r="B38" s="22">
        <v>2037</v>
      </c>
      <c r="C38" s="23">
        <f>Population_UP!B31*1000</f>
        <v>9015437616</v>
      </c>
      <c r="D38" s="44">
        <f t="shared" si="1"/>
        <v>547.75728203965991</v>
      </c>
      <c r="E38" s="45">
        <f t="shared" si="2"/>
        <v>4.9382716049382713</v>
      </c>
      <c r="F38" s="48">
        <f t="shared" si="3"/>
        <v>500.56382763830214</v>
      </c>
      <c r="G38" s="49">
        <f t="shared" si="4"/>
        <v>4.5128019608992895</v>
      </c>
    </row>
    <row r="39" spans="2:7" x14ac:dyDescent="0.4">
      <c r="B39" s="22">
        <v>2038</v>
      </c>
      <c r="C39" s="23">
        <f>Population_UP!B32*1000</f>
        <v>9077693645.0000114</v>
      </c>
      <c r="D39" s="44">
        <f t="shared" si="1"/>
        <v>544.00068982921323</v>
      </c>
      <c r="E39" s="45">
        <f t="shared" si="2"/>
        <v>4.9382716049382713</v>
      </c>
      <c r="F39" s="48">
        <f t="shared" si="3"/>
        <v>500.56382763830214</v>
      </c>
      <c r="G39" s="49">
        <f t="shared" si="4"/>
        <v>4.543965077069096</v>
      </c>
    </row>
    <row r="40" spans="2:7" x14ac:dyDescent="0.4">
      <c r="B40" s="22">
        <v>2039</v>
      </c>
      <c r="C40" s="23">
        <f>Population_UP!B33*1000</f>
        <v>9138828562.0000095</v>
      </c>
      <c r="D40" s="44">
        <f t="shared" si="1"/>
        <v>540.36155415717121</v>
      </c>
      <c r="E40" s="45">
        <f t="shared" si="2"/>
        <v>4.9382716049382713</v>
      </c>
      <c r="F40" s="48">
        <f t="shared" si="3"/>
        <v>500.56382763830214</v>
      </c>
      <c r="G40" s="49">
        <f t="shared" si="4"/>
        <v>4.5745670051249654</v>
      </c>
    </row>
    <row r="41" spans="2:7" x14ac:dyDescent="0.4">
      <c r="B41" s="22">
        <v>2040</v>
      </c>
      <c r="C41" s="23">
        <f>Population_UP!B34*1000</f>
        <v>9198847382</v>
      </c>
      <c r="D41" s="44">
        <f t="shared" si="1"/>
        <v>536.8359099642546</v>
      </c>
      <c r="E41" s="45">
        <f t="shared" si="2"/>
        <v>4.9382716049382713</v>
      </c>
      <c r="F41" s="48">
        <f t="shared" si="3"/>
        <v>500.56382763830214</v>
      </c>
      <c r="G41" s="49">
        <f t="shared" si="4"/>
        <v>4.604610255394495</v>
      </c>
    </row>
    <row r="42" spans="2:7" x14ac:dyDescent="0.4">
      <c r="B42" s="22">
        <v>2041</v>
      </c>
      <c r="C42" s="23">
        <f>Population_UP!B35*1000</f>
        <v>9257745483</v>
      </c>
      <c r="D42" s="44">
        <f t="shared" si="1"/>
        <v>533.42054110327626</v>
      </c>
      <c r="E42" s="45">
        <f t="shared" si="2"/>
        <v>4.9382716049382713</v>
      </c>
      <c r="F42" s="48">
        <f t="shared" si="3"/>
        <v>500.56382763830214</v>
      </c>
      <c r="G42" s="49">
        <f t="shared" si="4"/>
        <v>4.634092514271682</v>
      </c>
    </row>
    <row r="43" spans="2:7" x14ac:dyDescent="0.4">
      <c r="B43" s="22">
        <v>2042</v>
      </c>
      <c r="C43" s="23">
        <f>Population_UP!B36*1000</f>
        <v>9315508153</v>
      </c>
      <c r="D43" s="44">
        <f t="shared" si="1"/>
        <v>530.11296043446998</v>
      </c>
      <c r="E43" s="45">
        <f t="shared" si="2"/>
        <v>4.9382716049382713</v>
      </c>
      <c r="F43" s="48">
        <f t="shared" si="3"/>
        <v>500.56382763830214</v>
      </c>
      <c r="G43" s="49">
        <f t="shared" si="4"/>
        <v>4.6630064174614905</v>
      </c>
    </row>
    <row r="44" spans="2:7" x14ac:dyDescent="0.4">
      <c r="B44" s="22">
        <v>2043</v>
      </c>
      <c r="C44" s="23">
        <f>Population_UP!B37*1000</f>
        <v>9372118247.0000114</v>
      </c>
      <c r="D44" s="44">
        <f t="shared" si="1"/>
        <v>526.91093675850686</v>
      </c>
      <c r="E44" s="45">
        <f t="shared" si="2"/>
        <v>4.9382716049382713</v>
      </c>
      <c r="F44" s="48">
        <f t="shared" si="3"/>
        <v>500.56382763830214</v>
      </c>
      <c r="G44" s="49">
        <f t="shared" si="4"/>
        <v>4.6913433827971005</v>
      </c>
    </row>
    <row r="45" spans="2:7" x14ac:dyDescent="0.4">
      <c r="B45" s="22">
        <v>2044</v>
      </c>
      <c r="C45" s="23">
        <f>Population_UP!B38*1000</f>
        <v>9427555382</v>
      </c>
      <c r="D45" s="44">
        <f t="shared" si="1"/>
        <v>523.8125266669764</v>
      </c>
      <c r="E45" s="45">
        <f t="shared" si="2"/>
        <v>4.9382716049382722</v>
      </c>
      <c r="F45" s="48">
        <f t="shared" si="3"/>
        <v>500.56382763830214</v>
      </c>
      <c r="G45" s="49">
        <f t="shared" si="4"/>
        <v>4.7190932072859955</v>
      </c>
    </row>
    <row r="46" spans="2:7" x14ac:dyDescent="0.4">
      <c r="B46" s="22">
        <v>2045</v>
      </c>
      <c r="C46" s="23">
        <f>Population_UP!B39*1000</f>
        <v>9481803272</v>
      </c>
      <c r="D46" s="44">
        <f t="shared" si="1"/>
        <v>520.81565745211253</v>
      </c>
      <c r="E46" s="45">
        <f t="shared" si="2"/>
        <v>4.9382716049382722</v>
      </c>
      <c r="F46" s="48">
        <f t="shared" si="3"/>
        <v>500.56382763830214</v>
      </c>
      <c r="G46" s="49">
        <f t="shared" si="4"/>
        <v>4.7462477387456969</v>
      </c>
    </row>
    <row r="47" spans="2:7" x14ac:dyDescent="0.4">
      <c r="B47" s="22">
        <v>2046</v>
      </c>
      <c r="C47" s="23">
        <f>Population_UP!B40*1000</f>
        <v>9534854673</v>
      </c>
      <c r="D47" s="44">
        <f t="shared" si="1"/>
        <v>517.91786810574615</v>
      </c>
      <c r="E47" s="45">
        <f t="shared" si="2"/>
        <v>4.9382716049382713</v>
      </c>
      <c r="F47" s="48">
        <f t="shared" si="3"/>
        <v>500.56382763830214</v>
      </c>
      <c r="G47" s="49">
        <f t="shared" si="4"/>
        <v>4.7728033510918317</v>
      </c>
    </row>
    <row r="48" spans="2:7" x14ac:dyDescent="0.4">
      <c r="B48" s="22">
        <v>2047</v>
      </c>
      <c r="C48" s="23">
        <f>Population_UP!B41*1000</f>
        <v>9586707749</v>
      </c>
      <c r="D48" s="44">
        <f t="shared" si="1"/>
        <v>515.11652740779414</v>
      </c>
      <c r="E48" s="45">
        <f t="shared" si="2"/>
        <v>4.9382716049382713</v>
      </c>
      <c r="F48" s="48">
        <f t="shared" si="3"/>
        <v>500.56382763830214</v>
      </c>
      <c r="G48" s="49">
        <f t="shared" si="4"/>
        <v>4.7987591252892114</v>
      </c>
    </row>
    <row r="49" spans="2:7" x14ac:dyDescent="0.4">
      <c r="B49" s="22">
        <v>2048</v>
      </c>
      <c r="C49" s="23">
        <f>Population_UP!B42*1000</f>
        <v>9637357320</v>
      </c>
      <c r="D49" s="44">
        <f t="shared" si="1"/>
        <v>512.40930900113926</v>
      </c>
      <c r="E49" s="45">
        <f t="shared" si="2"/>
        <v>4.9382716049382722</v>
      </c>
      <c r="F49" s="48">
        <f t="shared" si="3"/>
        <v>500.56382763830214</v>
      </c>
      <c r="G49" s="49">
        <f t="shared" si="4"/>
        <v>4.8241124684172094</v>
      </c>
    </row>
    <row r="50" spans="2:7" x14ac:dyDescent="0.4">
      <c r="B50" s="22">
        <v>2049</v>
      </c>
      <c r="C50" s="23">
        <f>Population_UP!B43*1000</f>
        <v>9686800146</v>
      </c>
      <c r="D50" s="44">
        <f t="shared" si="1"/>
        <v>509.79389793413327</v>
      </c>
      <c r="E50" s="45">
        <f t="shared" si="2"/>
        <v>4.9382716049382704</v>
      </c>
      <c r="F50" s="48">
        <f t="shared" si="3"/>
        <v>500.56382763830214</v>
      </c>
      <c r="G50" s="49">
        <f t="shared" si="4"/>
        <v>4.8488617586490239</v>
      </c>
    </row>
    <row r="51" spans="2:7" x14ac:dyDescent="0.4">
      <c r="B51" s="22">
        <v>2050</v>
      </c>
      <c r="C51" s="23">
        <f>Population_UP!B44*1000</f>
        <v>9735033900</v>
      </c>
      <c r="D51" s="44">
        <f t="shared" si="1"/>
        <v>507.26804402173389</v>
      </c>
      <c r="E51" s="45">
        <f t="shared" si="2"/>
        <v>4.9382716049382713</v>
      </c>
      <c r="F51" s="48">
        <f t="shared" si="3"/>
        <v>500.56382763830214</v>
      </c>
      <c r="G51" s="49">
        <f t="shared" si="4"/>
        <v>4.8730058311726285</v>
      </c>
    </row>
    <row r="52" spans="2:7" x14ac:dyDescent="0.4">
      <c r="B52" s="22">
        <v>2051</v>
      </c>
      <c r="C52" s="23">
        <f>Population_UP!B45*1000</f>
        <v>9782061758</v>
      </c>
      <c r="D52" s="44">
        <f t="shared" si="1"/>
        <v>504.82932198824415</v>
      </c>
      <c r="E52" s="45">
        <f t="shared" si="2"/>
        <v>4.9382716049382722</v>
      </c>
      <c r="F52" s="48">
        <f t="shared" si="3"/>
        <v>500.56382763830214</v>
      </c>
      <c r="G52" s="49">
        <f t="shared" si="4"/>
        <v>4.8965462757787384</v>
      </c>
    </row>
    <row r="53" spans="2:7" x14ac:dyDescent="0.4">
      <c r="B53" s="22">
        <v>2052</v>
      </c>
      <c r="C53" s="23">
        <f>Population_UP!B46*1000</f>
        <v>9827885441</v>
      </c>
      <c r="D53" s="44">
        <f t="shared" si="1"/>
        <v>502.4754953223993</v>
      </c>
      <c r="E53" s="45">
        <f t="shared" si="2"/>
        <v>4.9382716049382722</v>
      </c>
      <c r="F53" s="48">
        <f t="shared" si="3"/>
        <v>500.56382763830214</v>
      </c>
      <c r="G53" s="49">
        <f t="shared" si="4"/>
        <v>4.9194839539377027</v>
      </c>
    </row>
    <row r="54" spans="2:7" x14ac:dyDescent="0.4">
      <c r="B54" s="22">
        <v>2053</v>
      </c>
      <c r="C54" s="23">
        <f>Population_UP!B47*1000</f>
        <v>9872501562</v>
      </c>
      <c r="D54" s="44">
        <f t="shared" si="1"/>
        <v>500.20469218724156</v>
      </c>
      <c r="E54" s="45">
        <f t="shared" si="2"/>
        <v>4.9382716049382713</v>
      </c>
      <c r="F54" s="48">
        <f t="shared" si="3"/>
        <v>500.56382763830214</v>
      </c>
      <c r="G54" s="49">
        <f t="shared" si="4"/>
        <v>4.9418171702398368</v>
      </c>
    </row>
    <row r="55" spans="2:7" x14ac:dyDescent="0.4">
      <c r="B55" s="22">
        <v>2054</v>
      </c>
      <c r="C55" s="23">
        <f>Population_UP!B48*1000</f>
        <v>9915905251.0000095</v>
      </c>
      <c r="D55" s="44">
        <f t="shared" si="1"/>
        <v>498.01520687586759</v>
      </c>
      <c r="E55" s="45">
        <f t="shared" si="2"/>
        <v>4.9382716049382722</v>
      </c>
      <c r="F55" s="48">
        <f t="shared" si="3"/>
        <v>500.56382763830214</v>
      </c>
      <c r="G55" s="49">
        <f t="shared" si="4"/>
        <v>4.9635434869393036</v>
      </c>
    </row>
    <row r="56" spans="2:7" x14ac:dyDescent="0.4">
      <c r="B56" s="22">
        <v>2055</v>
      </c>
      <c r="C56" s="23">
        <f>Population_UP!B49*1000</f>
        <v>9958098746</v>
      </c>
      <c r="D56" s="44">
        <f t="shared" si="1"/>
        <v>495.90506490226278</v>
      </c>
      <c r="E56" s="45">
        <f t="shared" si="2"/>
        <v>4.9382716049382713</v>
      </c>
      <c r="F56" s="48">
        <f t="shared" si="3"/>
        <v>500.56382763830214</v>
      </c>
      <c r="G56" s="49">
        <f t="shared" si="4"/>
        <v>4.9846640242979365</v>
      </c>
    </row>
    <row r="57" spans="2:7" x14ac:dyDescent="0.4">
      <c r="B57" s="22">
        <v>2056</v>
      </c>
      <c r="C57" s="23">
        <f>Population_UP!B50*1000</f>
        <v>9999085167</v>
      </c>
      <c r="D57" s="44">
        <f t="shared" si="1"/>
        <v>493.87234156541228</v>
      </c>
      <c r="E57" s="45">
        <f t="shared" si="2"/>
        <v>4.9382716049382713</v>
      </c>
      <c r="F57" s="48">
        <f t="shared" si="3"/>
        <v>500.56382763830214</v>
      </c>
      <c r="G57" s="49">
        <f t="shared" si="4"/>
        <v>5.0051803440748914</v>
      </c>
    </row>
    <row r="58" spans="2:7" x14ac:dyDescent="0.4">
      <c r="B58" s="22">
        <v>2057</v>
      </c>
      <c r="C58" s="23">
        <f>Population_UP!B51*1000</f>
        <v>10038881262</v>
      </c>
      <c r="D58" s="44">
        <f t="shared" si="1"/>
        <v>491.91453470328651</v>
      </c>
      <c r="E58" s="45">
        <f t="shared" si="2"/>
        <v>4.9382716049382722</v>
      </c>
      <c r="F58" s="48">
        <f t="shared" si="3"/>
        <v>500.56382763830214</v>
      </c>
      <c r="G58" s="49">
        <f t="shared" si="4"/>
        <v>5.025100829713149</v>
      </c>
    </row>
    <row r="59" spans="2:7" x14ac:dyDescent="0.4">
      <c r="B59" s="22">
        <v>2058</v>
      </c>
      <c r="C59" s="23">
        <f>Population_UP!B52*1000</f>
        <v>10077518080</v>
      </c>
      <c r="D59" s="44">
        <f t="shared" si="1"/>
        <v>490.0285532346345</v>
      </c>
      <c r="E59" s="45">
        <f t="shared" si="2"/>
        <v>4.9382716049382722</v>
      </c>
      <c r="F59" s="48">
        <f t="shared" si="3"/>
        <v>500.56382763830214</v>
      </c>
      <c r="G59" s="49">
        <f t="shared" si="4"/>
        <v>5.0444410232189938</v>
      </c>
    </row>
    <row r="60" spans="2:7" x14ac:dyDescent="0.4">
      <c r="B60" s="22">
        <v>2059</v>
      </c>
      <c r="C60" s="23">
        <f>Population_UP!B53*1000</f>
        <v>10115036360</v>
      </c>
      <c r="D60" s="44">
        <f t="shared" si="1"/>
        <v>488.21095932652401</v>
      </c>
      <c r="E60" s="45">
        <f t="shared" si="2"/>
        <v>4.9382716049382713</v>
      </c>
      <c r="F60" s="48">
        <f t="shared" si="3"/>
        <v>500.56382763830214</v>
      </c>
      <c r="G60" s="49">
        <f t="shared" si="4"/>
        <v>5.0632213170621991</v>
      </c>
    </row>
    <row r="61" spans="2:7" x14ac:dyDescent="0.4">
      <c r="B61" s="22">
        <v>2060</v>
      </c>
      <c r="C61" s="23">
        <f>Population_UP!B54*1000</f>
        <v>10151469683</v>
      </c>
      <c r="D61" s="44">
        <f t="shared" si="1"/>
        <v>486.45878470267917</v>
      </c>
      <c r="E61" s="45">
        <f t="shared" si="2"/>
        <v>4.9382716049382722</v>
      </c>
      <c r="F61" s="48">
        <f t="shared" si="3"/>
        <v>500.56382763830214</v>
      </c>
      <c r="G61" s="49">
        <f t="shared" si="4"/>
        <v>5.0814585206766614</v>
      </c>
    </row>
    <row r="62" spans="2:7" x14ac:dyDescent="0.4">
      <c r="B62" s="22">
        <v>2061</v>
      </c>
      <c r="C62" s="23">
        <f>Population_UP!B55*1000</f>
        <v>10186837209</v>
      </c>
      <c r="D62" s="44">
        <f t="shared" si="1"/>
        <v>484.7698558071923</v>
      </c>
      <c r="E62" s="45">
        <f t="shared" si="2"/>
        <v>4.9382716049382704</v>
      </c>
      <c r="F62" s="48">
        <f t="shared" si="3"/>
        <v>500.56382763830214</v>
      </c>
      <c r="G62" s="49">
        <f t="shared" si="4"/>
        <v>5.099162224865319</v>
      </c>
    </row>
    <row r="63" spans="2:7" x14ac:dyDescent="0.4">
      <c r="B63" s="22">
        <v>2062</v>
      </c>
      <c r="C63" s="23">
        <f>Population_UP!B56*1000</f>
        <v>10221149040</v>
      </c>
      <c r="D63" s="44">
        <f t="shared" si="1"/>
        <v>483.14251026108428</v>
      </c>
      <c r="E63" s="45">
        <f t="shared" si="2"/>
        <v>4.9382716049382722</v>
      </c>
      <c r="F63" s="48">
        <f t="shared" si="3"/>
        <v>500.56382763830214</v>
      </c>
      <c r="G63" s="49">
        <f t="shared" si="4"/>
        <v>5.1163374863239577</v>
      </c>
    </row>
    <row r="64" spans="2:7" x14ac:dyDescent="0.4">
      <c r="B64" s="22">
        <v>2063</v>
      </c>
      <c r="C64" s="23">
        <f>Population_UP!B57*1000</f>
        <v>10254419004</v>
      </c>
      <c r="D64" s="44">
        <f t="shared" si="1"/>
        <v>481.57497787168359</v>
      </c>
      <c r="E64" s="45">
        <f t="shared" si="2"/>
        <v>4.9382716049382713</v>
      </c>
      <c r="F64" s="48">
        <f t="shared" si="3"/>
        <v>500.56382763830214</v>
      </c>
      <c r="G64" s="49">
        <f t="shared" si="4"/>
        <v>5.1329912268491862</v>
      </c>
    </row>
    <row r="65" spans="2:7" x14ac:dyDescent="0.4">
      <c r="B65" s="22">
        <v>2064</v>
      </c>
      <c r="C65" s="23">
        <f>Population_UP!B58*1000</f>
        <v>10286658354</v>
      </c>
      <c r="D65" s="44">
        <f t="shared" si="1"/>
        <v>480.06567682088991</v>
      </c>
      <c r="E65" s="45">
        <f t="shared" si="2"/>
        <v>4.9382716049382713</v>
      </c>
      <c r="F65" s="48">
        <f t="shared" si="3"/>
        <v>500.56382763830214</v>
      </c>
      <c r="G65" s="49">
        <f t="shared" si="4"/>
        <v>5.1491290792857569</v>
      </c>
    </row>
    <row r="66" spans="2:7" x14ac:dyDescent="0.4">
      <c r="B66" s="22">
        <v>2065</v>
      </c>
      <c r="C66" s="23">
        <f>Population_UP!B59*1000</f>
        <v>10317879315</v>
      </c>
      <c r="D66" s="44">
        <f t="shared" si="1"/>
        <v>478.61304190281385</v>
      </c>
      <c r="E66" s="45">
        <f t="shared" si="2"/>
        <v>4.9382716049382713</v>
      </c>
      <c r="F66" s="48">
        <f t="shared" si="3"/>
        <v>500.56382763830214</v>
      </c>
      <c r="G66" s="49">
        <f t="shared" si="4"/>
        <v>5.1647571630264633</v>
      </c>
    </row>
    <row r="67" spans="2:7" x14ac:dyDescent="0.4">
      <c r="B67" s="22">
        <v>2066</v>
      </c>
      <c r="C67" s="23">
        <f>Population_UP!B60*1000</f>
        <v>10348098079</v>
      </c>
      <c r="D67" s="44">
        <f t="shared" si="1"/>
        <v>477.2153846280018</v>
      </c>
      <c r="E67" s="45">
        <f t="shared" si="2"/>
        <v>4.9382716049382722</v>
      </c>
      <c r="F67" s="48">
        <f t="shared" si="3"/>
        <v>500.56382763830214</v>
      </c>
      <c r="G67" s="49">
        <f t="shared" si="4"/>
        <v>5.1798835832008017</v>
      </c>
    </row>
    <row r="68" spans="2:7" x14ac:dyDescent="0.4">
      <c r="B68" s="22">
        <v>2067</v>
      </c>
      <c r="C68" s="23">
        <f>Population_UP!B61*1000</f>
        <v>10377330830</v>
      </c>
      <c r="D68" s="44">
        <f t="shared" si="1"/>
        <v>475.8710776245216</v>
      </c>
      <c r="E68" s="45">
        <f t="shared" si="2"/>
        <v>4.9382716049382713</v>
      </c>
      <c r="F68" s="48">
        <f t="shared" si="3"/>
        <v>500.56382763830214</v>
      </c>
      <c r="G68" s="49">
        <f t="shared" si="4"/>
        <v>5.194516440933759</v>
      </c>
    </row>
    <row r="69" spans="2:7" x14ac:dyDescent="0.4">
      <c r="B69" s="22">
        <v>2068</v>
      </c>
      <c r="C69" s="23">
        <f>Population_UP!B62*1000</f>
        <v>10405590532</v>
      </c>
      <c r="D69" s="44">
        <f t="shared" si="1"/>
        <v>474.5786978405265</v>
      </c>
      <c r="E69" s="45">
        <f t="shared" si="2"/>
        <v>4.9382716049382722</v>
      </c>
      <c r="F69" s="48">
        <f t="shared" si="3"/>
        <v>500.56382763830214</v>
      </c>
      <c r="G69" s="49">
        <f t="shared" si="4"/>
        <v>5.2086622255347965</v>
      </c>
    </row>
    <row r="70" spans="2:7" x14ac:dyDescent="0.4">
      <c r="B70" s="22">
        <v>2069</v>
      </c>
      <c r="C70" s="23">
        <f>Population_UP!B63*1000</f>
        <v>10432889136</v>
      </c>
      <c r="D70" s="44">
        <f t="shared" si="1"/>
        <v>473.33691948265243</v>
      </c>
      <c r="E70" s="45">
        <f t="shared" si="2"/>
        <v>4.9382716049382713</v>
      </c>
      <c r="F70" s="48">
        <f t="shared" si="3"/>
        <v>500.56382763830214</v>
      </c>
      <c r="G70" s="49">
        <f t="shared" si="4"/>
        <v>5.222326919242219</v>
      </c>
    </row>
    <row r="71" spans="2:7" x14ac:dyDescent="0.4">
      <c r="B71" s="22">
        <v>2070</v>
      </c>
      <c r="C71" s="23">
        <f>Population_UP!B64*1000</f>
        <v>10459239501</v>
      </c>
      <c r="D71" s="44">
        <f t="shared" si="1"/>
        <v>472.14442354686753</v>
      </c>
      <c r="E71" s="45">
        <f t="shared" si="2"/>
        <v>4.9382716049382722</v>
      </c>
      <c r="F71" s="48">
        <f t="shared" si="3"/>
        <v>500.56382763830214</v>
      </c>
      <c r="G71" s="49">
        <f t="shared" si="4"/>
        <v>5.2355169588062855</v>
      </c>
    </row>
    <row r="72" spans="2:7" x14ac:dyDescent="0.4">
      <c r="B72" s="22">
        <v>2071</v>
      </c>
      <c r="C72" s="23">
        <f>Population_UP!B65*1000</f>
        <v>10484654858</v>
      </c>
      <c r="D72" s="44">
        <f t="shared" si="1"/>
        <v>470.99992053341384</v>
      </c>
      <c r="E72" s="45">
        <f t="shared" si="2"/>
        <v>4.9382716049382713</v>
      </c>
      <c r="F72" s="48">
        <f t="shared" si="3"/>
        <v>500.56382763830214</v>
      </c>
      <c r="G72" s="49">
        <f t="shared" si="4"/>
        <v>5.2482389671869996</v>
      </c>
    </row>
    <row r="73" spans="2:7" x14ac:dyDescent="0.4">
      <c r="B73" s="22">
        <v>2072</v>
      </c>
      <c r="C73" s="23">
        <f>Population_UP!B66*1000</f>
        <v>10509150402</v>
      </c>
      <c r="D73" s="44">
        <f t="shared" si="1"/>
        <v>469.90207733619144</v>
      </c>
      <c r="E73" s="45">
        <f t="shared" si="2"/>
        <v>4.9382716049382713</v>
      </c>
      <c r="F73" s="48">
        <f t="shared" si="3"/>
        <v>500.56382763830214</v>
      </c>
      <c r="G73" s="49">
        <f t="shared" si="4"/>
        <v>5.2605005504517219</v>
      </c>
    </row>
    <row r="74" spans="2:7" x14ac:dyDescent="0.4">
      <c r="B74" s="22">
        <v>2073</v>
      </c>
      <c r="C74" s="23">
        <f>Population_UP!B67*1000</f>
        <v>10532742861</v>
      </c>
      <c r="D74" s="44">
        <f t="shared" si="1"/>
        <v>468.84953616625387</v>
      </c>
      <c r="E74" s="45">
        <f t="shared" si="2"/>
        <v>4.9382716049382713</v>
      </c>
      <c r="F74" s="48">
        <f t="shared" si="3"/>
        <v>500.56382763830214</v>
      </c>
      <c r="G74" s="49">
        <f t="shared" si="4"/>
        <v>5.2723100820321616</v>
      </c>
    </row>
    <row r="75" spans="2:7" x14ac:dyDescent="0.4">
      <c r="B75" s="22">
        <v>2074</v>
      </c>
      <c r="C75" s="23">
        <f>Population_UP!B68*1000</f>
        <v>10555450003</v>
      </c>
      <c r="D75" s="44">
        <f t="shared" si="1"/>
        <v>467.84093558633208</v>
      </c>
      <c r="E75" s="45">
        <f t="shared" si="2"/>
        <v>4.9382716049382722</v>
      </c>
      <c r="F75" s="48">
        <f t="shared" si="3"/>
        <v>500.56382763830214</v>
      </c>
      <c r="G75" s="49">
        <f t="shared" si="4"/>
        <v>5.2836764559464076</v>
      </c>
    </row>
    <row r="76" spans="2:7" x14ac:dyDescent="0.4">
      <c r="B76" s="22">
        <v>2075</v>
      </c>
      <c r="C76" s="23">
        <f>Population_UP!B69*1000</f>
        <v>10577288195</v>
      </c>
      <c r="D76" s="44">
        <f t="shared" si="1"/>
        <v>466.87501691337548</v>
      </c>
      <c r="E76" s="45">
        <f t="shared" si="2"/>
        <v>4.9382716049382713</v>
      </c>
      <c r="F76" s="48">
        <f t="shared" si="3"/>
        <v>500.56382763830214</v>
      </c>
      <c r="G76" s="49">
        <f t="shared" si="4"/>
        <v>5.2946078649226278</v>
      </c>
    </row>
    <row r="77" spans="2:7" x14ac:dyDescent="0.4">
      <c r="B77" s="22">
        <v>2076</v>
      </c>
      <c r="C77" s="23">
        <f>Population_UP!B70*1000</f>
        <v>10598274172</v>
      </c>
      <c r="D77" s="44">
        <f t="shared" si="1"/>
        <v>465.95054296527701</v>
      </c>
      <c r="E77" s="45">
        <f t="shared" si="2"/>
        <v>4.9382716049382713</v>
      </c>
      <c r="F77" s="48">
        <f t="shared" si="3"/>
        <v>500.56382763830214</v>
      </c>
      <c r="G77" s="49">
        <f t="shared" si="4"/>
        <v>5.3051126858964777</v>
      </c>
    </row>
    <row r="78" spans="2:7" x14ac:dyDescent="0.4">
      <c r="B78" s="22">
        <v>2077</v>
      </c>
      <c r="C78" s="23">
        <f>Population_UP!B71*1000</f>
        <v>10618420909</v>
      </c>
      <c r="D78" s="44">
        <f t="shared" si="1"/>
        <v>465.06647713999291</v>
      </c>
      <c r="E78" s="45">
        <f t="shared" si="2"/>
        <v>4.9382716049382713</v>
      </c>
      <c r="F78" s="48">
        <f t="shared" si="3"/>
        <v>500.56382763830214</v>
      </c>
      <c r="G78" s="49">
        <f t="shared" si="4"/>
        <v>5.3151974136836193</v>
      </c>
    </row>
    <row r="79" spans="2:7" x14ac:dyDescent="0.4">
      <c r="B79" s="22">
        <v>2078</v>
      </c>
      <c r="C79" s="23">
        <f>Population_UP!B72*1000</f>
        <v>10637736819</v>
      </c>
      <c r="D79" s="44">
        <f t="shared" si="1"/>
        <v>464.2220134754653</v>
      </c>
      <c r="E79" s="45">
        <f t="shared" si="2"/>
        <v>4.9382716049382713</v>
      </c>
      <c r="F79" s="48">
        <f t="shared" si="3"/>
        <v>500.56382763830214</v>
      </c>
      <c r="G79" s="49">
        <f t="shared" si="4"/>
        <v>5.3248662595275364</v>
      </c>
    </row>
    <row r="80" spans="2:7" x14ac:dyDescent="0.4">
      <c r="B80" s="22">
        <v>2079</v>
      </c>
      <c r="C80" s="23">
        <f>Population_UP!B73*1000</f>
        <v>10656228233</v>
      </c>
      <c r="D80" s="44">
        <f t="shared" si="1"/>
        <v>463.41646377707343</v>
      </c>
      <c r="E80" s="45">
        <f t="shared" si="2"/>
        <v>4.9382716049382722</v>
      </c>
      <c r="F80" s="48">
        <f t="shared" si="3"/>
        <v>500.56382763830214</v>
      </c>
      <c r="G80" s="49">
        <f t="shared" si="4"/>
        <v>5.3341223924978207</v>
      </c>
    </row>
    <row r="81" spans="2:7" x14ac:dyDescent="0.4">
      <c r="B81" s="22">
        <v>2080</v>
      </c>
      <c r="C81" s="23">
        <f>Population_UP!B74*1000</f>
        <v>10673904454</v>
      </c>
      <c r="D81" s="44">
        <f t="shared" si="1"/>
        <v>462.64903590060482</v>
      </c>
      <c r="E81" s="45">
        <f t="shared" si="2"/>
        <v>4.9382716049382713</v>
      </c>
      <c r="F81" s="48">
        <f t="shared" si="3"/>
        <v>500.56382763830214</v>
      </c>
      <c r="G81" s="49">
        <f t="shared" si="4"/>
        <v>5.3429704693397611</v>
      </c>
    </row>
    <row r="82" spans="2:7" x14ac:dyDescent="0.4">
      <c r="B82" s="22">
        <v>2081</v>
      </c>
      <c r="C82" s="23">
        <f>Population_UP!B75*1000</f>
        <v>10690773335</v>
      </c>
      <c r="D82" s="44">
        <f t="shared" si="1"/>
        <v>461.91902589227158</v>
      </c>
      <c r="E82" s="45">
        <f t="shared" si="2"/>
        <v>4.9382716049382722</v>
      </c>
      <c r="F82" s="48">
        <f t="shared" si="3"/>
        <v>500.56382763830214</v>
      </c>
      <c r="G82" s="49">
        <f t="shared" si="4"/>
        <v>5.3514144209810963</v>
      </c>
    </row>
    <row r="83" spans="2:7" x14ac:dyDescent="0.4">
      <c r="B83" s="22">
        <v>2082</v>
      </c>
      <c r="C83" s="23">
        <f>Population_UP!B76*1000</f>
        <v>10706852426</v>
      </c>
      <c r="D83" s="44">
        <f t="shared" si="1"/>
        <v>461.22533574352934</v>
      </c>
      <c r="E83" s="45">
        <f t="shared" si="2"/>
        <v>4.9382716049382722</v>
      </c>
      <c r="F83" s="48">
        <f t="shared" si="3"/>
        <v>500.56382763830214</v>
      </c>
      <c r="G83" s="49">
        <f t="shared" si="4"/>
        <v>5.3594630323170014</v>
      </c>
    </row>
    <row r="84" spans="2:7" x14ac:dyDescent="0.4">
      <c r="B84" s="22">
        <v>2083</v>
      </c>
      <c r="C84" s="23">
        <f>Population_UP!B77*1000</f>
        <v>10722171375</v>
      </c>
      <c r="D84" s="44">
        <f t="shared" si="1"/>
        <v>460.56637524489031</v>
      </c>
      <c r="E84" s="45">
        <f t="shared" si="2"/>
        <v>4.9382716049382713</v>
      </c>
      <c r="F84" s="48">
        <f t="shared" si="3"/>
        <v>500.56382763830214</v>
      </c>
      <c r="G84" s="49">
        <f t="shared" si="4"/>
        <v>5.367131144063837</v>
      </c>
    </row>
    <row r="85" spans="2:7" x14ac:dyDescent="0.4">
      <c r="B85" s="22">
        <v>2084</v>
      </c>
      <c r="C85" s="23">
        <f>Population_UP!B78*1000</f>
        <v>10736765444</v>
      </c>
      <c r="D85" s="44">
        <f t="shared" si="1"/>
        <v>459.94034522733415</v>
      </c>
      <c r="E85" s="45">
        <f t="shared" si="2"/>
        <v>4.9382716049382713</v>
      </c>
      <c r="F85" s="48">
        <f t="shared" si="3"/>
        <v>500.56382763830214</v>
      </c>
      <c r="G85" s="49">
        <f t="shared" si="4"/>
        <v>5.3744364071032944</v>
      </c>
    </row>
    <row r="86" spans="2:7" x14ac:dyDescent="0.4">
      <c r="B86" s="22">
        <v>2085</v>
      </c>
      <c r="C86" s="23">
        <f>Population_UP!B79*1000</f>
        <v>10750662353</v>
      </c>
      <c r="D86" s="44">
        <f t="shared" ref="D86:D101" si="5">$C$19*1000000000000/C86</f>
        <v>459.34580054597603</v>
      </c>
      <c r="E86" s="45">
        <f t="shared" ref="E86:E100" si="6">(D86/1000000000000)*C86</f>
        <v>4.9382716049382713</v>
      </c>
      <c r="F86" s="48">
        <f t="shared" ref="F86:F101" si="7">$C$18*1000000000000/SUM($C$21:$C$101)</f>
        <v>500.56382763830214</v>
      </c>
      <c r="G86" s="49">
        <f t="shared" ref="G86:G101" si="8">(F86/1000000000000)*C86</f>
        <v>5.3813926970646753</v>
      </c>
    </row>
    <row r="87" spans="2:7" x14ac:dyDescent="0.4">
      <c r="B87" s="22">
        <v>2086</v>
      </c>
      <c r="C87" s="23">
        <f>Population_UP!B80*1000</f>
        <v>10763874023</v>
      </c>
      <c r="D87" s="44">
        <f t="shared" si="5"/>
        <v>458.7819956259508</v>
      </c>
      <c r="E87" s="45">
        <f t="shared" si="6"/>
        <v>4.9382716049382713</v>
      </c>
      <c r="F87" s="48">
        <f t="shared" si="7"/>
        <v>500.56382763830214</v>
      </c>
      <c r="G87" s="49">
        <f t="shared" si="8"/>
        <v>5.3880059811693695</v>
      </c>
    </row>
    <row r="88" spans="2:7" x14ac:dyDescent="0.4">
      <c r="B88" s="22">
        <v>2087</v>
      </c>
      <c r="C88" s="23">
        <f>Population_UP!B81*1000</f>
        <v>10776402019</v>
      </c>
      <c r="D88" s="44">
        <f t="shared" si="5"/>
        <v>458.24864330706549</v>
      </c>
      <c r="E88" s="45">
        <f t="shared" si="6"/>
        <v>4.9382716049382713</v>
      </c>
      <c r="F88" s="48">
        <f t="shared" si="7"/>
        <v>500.56382763830214</v>
      </c>
      <c r="G88" s="49">
        <f t="shared" si="8"/>
        <v>5.3942770427997671</v>
      </c>
    </row>
    <row r="89" spans="2:7" x14ac:dyDescent="0.4">
      <c r="B89" s="22">
        <v>2088</v>
      </c>
      <c r="C89" s="23">
        <f>Population_UP!B82*1000</f>
        <v>10788248948</v>
      </c>
      <c r="D89" s="44">
        <f t="shared" si="5"/>
        <v>457.74542548480605</v>
      </c>
      <c r="E89" s="45">
        <f t="shared" si="6"/>
        <v>4.9382716049382713</v>
      </c>
      <c r="F89" s="48">
        <f t="shared" si="7"/>
        <v>500.56382763830214</v>
      </c>
      <c r="G89" s="49">
        <f t="shared" si="8"/>
        <v>5.4002071869257664</v>
      </c>
    </row>
    <row r="90" spans="2:7" x14ac:dyDescent="0.4">
      <c r="B90" s="22">
        <v>2089</v>
      </c>
      <c r="C90" s="23">
        <f>Population_UP!B83*1000</f>
        <v>10799413366</v>
      </c>
      <c r="D90" s="44">
        <f t="shared" si="5"/>
        <v>457.27220892252598</v>
      </c>
      <c r="E90" s="45">
        <f t="shared" si="6"/>
        <v>4.9382716049382713</v>
      </c>
      <c r="F90" s="48">
        <f t="shared" si="7"/>
        <v>500.56382763830214</v>
      </c>
      <c r="G90" s="49">
        <f t="shared" si="8"/>
        <v>5.4057956907331999</v>
      </c>
    </row>
    <row r="91" spans="2:7" x14ac:dyDescent="0.4">
      <c r="B91" s="22">
        <v>2090</v>
      </c>
      <c r="C91" s="23">
        <f>Population_UP!B84*1000</f>
        <v>10809892303</v>
      </c>
      <c r="D91" s="44">
        <f t="shared" si="5"/>
        <v>456.828936544334</v>
      </c>
      <c r="E91" s="45">
        <f t="shared" si="6"/>
        <v>4.9382716049382713</v>
      </c>
      <c r="F91" s="48">
        <f t="shared" si="7"/>
        <v>500.56382763830214</v>
      </c>
      <c r="G91" s="49">
        <f t="shared" si="8"/>
        <v>5.4110410675475009</v>
      </c>
    </row>
    <row r="92" spans="2:7" x14ac:dyDescent="0.4">
      <c r="B92" s="22">
        <v>2091</v>
      </c>
      <c r="C92" s="23">
        <f>Population_UP!B85*1000</f>
        <v>10819682643</v>
      </c>
      <c r="D92" s="44">
        <f t="shared" si="5"/>
        <v>456.41556854102191</v>
      </c>
      <c r="E92" s="45">
        <f t="shared" si="6"/>
        <v>4.9382716049382713</v>
      </c>
      <c r="F92" s="48">
        <f t="shared" si="7"/>
        <v>500.56382763830214</v>
      </c>
      <c r="G92" s="49">
        <f t="shared" si="8"/>
        <v>5.4159417576117814</v>
      </c>
    </row>
    <row r="93" spans="2:7" x14ac:dyDescent="0.4">
      <c r="B93" s="22">
        <v>2092</v>
      </c>
      <c r="C93" s="23">
        <f>Population_UP!B86*1000</f>
        <v>10828780959</v>
      </c>
      <c r="D93" s="44">
        <f t="shared" si="5"/>
        <v>456.0320892661498</v>
      </c>
      <c r="E93" s="45">
        <f t="shared" si="6"/>
        <v>4.9382716049382713</v>
      </c>
      <c r="F93" s="48">
        <f t="shared" si="7"/>
        <v>500.56382763830214</v>
      </c>
      <c r="G93" s="49">
        <f t="shared" si="8"/>
        <v>5.4204960454938043</v>
      </c>
    </row>
    <row r="94" spans="2:7" x14ac:dyDescent="0.4">
      <c r="B94" s="22">
        <v>2093</v>
      </c>
      <c r="C94" s="23">
        <f>Population_UP!B87*1000</f>
        <v>10837182077</v>
      </c>
      <c r="D94" s="44">
        <f t="shared" si="5"/>
        <v>455.67856753268717</v>
      </c>
      <c r="E94" s="45">
        <f t="shared" si="6"/>
        <v>4.9382716049382713</v>
      </c>
      <c r="F94" s="48">
        <f t="shared" si="7"/>
        <v>500.56382763830214</v>
      </c>
      <c r="G94" s="49">
        <f t="shared" si="8"/>
        <v>5.4247013412763252</v>
      </c>
    </row>
    <row r="95" spans="2:7" x14ac:dyDescent="0.4">
      <c r="B95" s="22">
        <v>2094</v>
      </c>
      <c r="C95" s="23">
        <f>Population_UP!B88*1000</f>
        <v>10844878798</v>
      </c>
      <c r="D95" s="44">
        <f t="shared" si="5"/>
        <v>455.35516780961922</v>
      </c>
      <c r="E95" s="45">
        <f t="shared" si="6"/>
        <v>4.9382716049382713</v>
      </c>
      <c r="F95" s="48">
        <f t="shared" si="7"/>
        <v>500.56382763830214</v>
      </c>
      <c r="G95" s="49">
        <f t="shared" si="8"/>
        <v>5.428554041400349</v>
      </c>
    </row>
    <row r="96" spans="2:7" x14ac:dyDescent="0.4">
      <c r="B96" s="22">
        <v>2095</v>
      </c>
      <c r="C96" s="23">
        <f>Population_UP!B89*1000</f>
        <v>10851860145</v>
      </c>
      <c r="D96" s="44">
        <f t="shared" si="5"/>
        <v>455.06222333814196</v>
      </c>
      <c r="E96" s="45">
        <f t="shared" si="6"/>
        <v>4.9382716049382713</v>
      </c>
      <c r="F96" s="48">
        <f t="shared" si="7"/>
        <v>500.56382763830214</v>
      </c>
      <c r="G96" s="49">
        <f t="shared" si="8"/>
        <v>5.4320486511767401</v>
      </c>
    </row>
    <row r="97" spans="2:7" x14ac:dyDescent="0.4">
      <c r="B97" s="22">
        <v>2096</v>
      </c>
      <c r="C97" s="23">
        <f>Population_UP!B90*1000</f>
        <v>10858111587</v>
      </c>
      <c r="D97" s="44">
        <f t="shared" si="5"/>
        <v>454.80022611396578</v>
      </c>
      <c r="E97" s="45">
        <f t="shared" si="6"/>
        <v>4.9382716049382713</v>
      </c>
      <c r="F97" s="48">
        <f t="shared" si="7"/>
        <v>500.56382763830214</v>
      </c>
      <c r="G97" s="49">
        <f t="shared" si="8"/>
        <v>5.4351778969125188</v>
      </c>
    </row>
    <row r="98" spans="2:7" x14ac:dyDescent="0.4">
      <c r="B98" s="22">
        <v>2097</v>
      </c>
      <c r="C98" s="23">
        <f>Population_UP!B91*1000</f>
        <v>10863614776</v>
      </c>
      <c r="D98" s="44">
        <f t="shared" si="5"/>
        <v>454.5698376426185</v>
      </c>
      <c r="E98" s="45">
        <f t="shared" si="6"/>
        <v>4.9382716049382713</v>
      </c>
      <c r="F98" s="48">
        <f t="shared" si="7"/>
        <v>500.56382763830214</v>
      </c>
      <c r="G98" s="49">
        <f t="shared" si="8"/>
        <v>5.437932594262576</v>
      </c>
    </row>
    <row r="99" spans="2:7" x14ac:dyDescent="0.4">
      <c r="B99" s="22">
        <v>2098</v>
      </c>
      <c r="C99" s="23">
        <f>Population_UP!B92*1000</f>
        <v>10868347636</v>
      </c>
      <c r="D99" s="44">
        <f t="shared" si="5"/>
        <v>454.3718852515247</v>
      </c>
      <c r="E99" s="45">
        <f t="shared" si="6"/>
        <v>4.9382716049382722</v>
      </c>
      <c r="F99" s="48">
        <f t="shared" si="7"/>
        <v>500.56382763830214</v>
      </c>
      <c r="G99" s="49">
        <f t="shared" si="8"/>
        <v>5.4403016927798529</v>
      </c>
    </row>
    <row r="100" spans="2:7" x14ac:dyDescent="0.4">
      <c r="B100" s="22">
        <v>2099</v>
      </c>
      <c r="C100" s="23">
        <f>Population_UP!B93*1000</f>
        <v>10872284134</v>
      </c>
      <c r="D100" s="44">
        <f t="shared" si="5"/>
        <v>454.20737207329057</v>
      </c>
      <c r="E100" s="45">
        <f t="shared" si="6"/>
        <v>4.9382716049382713</v>
      </c>
      <c r="F100" s="48">
        <f t="shared" si="7"/>
        <v>500.56382763830214</v>
      </c>
      <c r="G100" s="49">
        <f t="shared" si="8"/>
        <v>5.4422721612862226</v>
      </c>
    </row>
    <row r="101" spans="2:7" x14ac:dyDescent="0.4">
      <c r="B101" s="22">
        <v>2100</v>
      </c>
      <c r="C101" s="23">
        <f>Population_UP!B94*1000</f>
        <v>10875393719</v>
      </c>
      <c r="D101" s="44">
        <f t="shared" si="5"/>
        <v>454.07750124124692</v>
      </c>
      <c r="E101" s="45">
        <f>(D101/1000000000000)*C101</f>
        <v>4.9382716049382713</v>
      </c>
      <c r="F101" s="48">
        <f t="shared" si="7"/>
        <v>500.56382763830214</v>
      </c>
      <c r="G101" s="49">
        <f t="shared" si="8"/>
        <v>5.4438287070561895</v>
      </c>
    </row>
    <row r="103" spans="2:7" x14ac:dyDescent="0.4">
      <c r="E103" s="17">
        <f>SUM(E21:E101)</f>
        <v>400.00000000000034</v>
      </c>
      <c r="G103" s="17">
        <f>SUM(G21:G101)</f>
        <v>399.99999999999989</v>
      </c>
    </row>
  </sheetData>
  <mergeCells count="4">
    <mergeCell ref="A4:A6"/>
    <mergeCell ref="B9:C9"/>
    <mergeCell ref="C12:G12"/>
    <mergeCell ref="A14:A16"/>
  </mergeCells>
  <conditionalFormatting sqref="C14:G16">
    <cfRule type="colorScale" priority="1">
      <colorScale>
        <cfvo type="min"/>
        <cfvo type="percentile" val="50"/>
        <cfvo type="max"/>
        <color rgb="FFF8696B"/>
        <color rgb="FFFCFCFF"/>
        <color rgb="FF5A8AC6"/>
      </colorScale>
    </cfRule>
  </conditionalFormatting>
  <pageMargins left="0.7" right="0.7" top="0.75" bottom="0.75" header="0.3" footer="0.3"/>
  <ignoredErrors>
    <ignoredError sqref="B9"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602-87D3-4023-8197-1C443E441464}">
  <dimension ref="A1:I21"/>
  <sheetViews>
    <sheetView showGridLines="0" workbookViewId="0">
      <selection activeCell="E27" sqref="E27"/>
    </sheetView>
  </sheetViews>
  <sheetFormatPr defaultRowHeight="14.6" x14ac:dyDescent="0.4"/>
  <cols>
    <col min="1" max="1" width="32.15234375" customWidth="1"/>
    <col min="3" max="3" width="11.84375" customWidth="1"/>
    <col min="4" max="4" width="10.69140625" customWidth="1"/>
    <col min="5" max="5" width="16.69140625" bestFit="1" customWidth="1"/>
    <col min="6" max="6" width="16.3828125" bestFit="1" customWidth="1"/>
    <col min="7" max="7" width="17.53515625" bestFit="1" customWidth="1"/>
    <col min="8" max="8" width="29.3828125" bestFit="1" customWidth="1"/>
    <col min="9" max="9" width="116.53515625" customWidth="1"/>
  </cols>
  <sheetData>
    <row r="1" spans="1:9" ht="18.45" x14ac:dyDescent="0.5">
      <c r="A1" s="1" t="s">
        <v>44</v>
      </c>
    </row>
    <row r="2" spans="1:9" s="21" customFormat="1" ht="43.75" x14ac:dyDescent="0.4">
      <c r="A2" s="25" t="s">
        <v>15</v>
      </c>
      <c r="B2" s="26" t="s">
        <v>3</v>
      </c>
      <c r="C2" s="26" t="s">
        <v>16</v>
      </c>
      <c r="D2" s="26" t="s">
        <v>17</v>
      </c>
      <c r="E2" s="26" t="s">
        <v>18</v>
      </c>
      <c r="F2" s="26" t="s">
        <v>45</v>
      </c>
      <c r="G2" s="26" t="s">
        <v>5</v>
      </c>
      <c r="H2" s="27" t="s">
        <v>39</v>
      </c>
      <c r="I2" s="25" t="s">
        <v>19</v>
      </c>
    </row>
    <row r="3" spans="1:9" x14ac:dyDescent="0.4">
      <c r="A3" s="4" t="s">
        <v>20</v>
      </c>
      <c r="B3" s="29">
        <v>2</v>
      </c>
      <c r="C3" s="28">
        <v>1456</v>
      </c>
      <c r="D3" s="28" t="s">
        <v>21</v>
      </c>
      <c r="E3" s="28">
        <f>C3/(2100-2000)</f>
        <v>14.56</v>
      </c>
      <c r="F3" s="28">
        <f>SUM(Population_UP!B4:B94)*1000</f>
        <v>872464847550.00037</v>
      </c>
      <c r="G3" s="30">
        <f>C3*1000000000000/F3</f>
        <v>1668.8351445776245</v>
      </c>
      <c r="H3" s="28" t="s">
        <v>40</v>
      </c>
      <c r="I3" s="4"/>
    </row>
    <row r="4" spans="1:9" x14ac:dyDescent="0.4">
      <c r="A4" s="4" t="s">
        <v>47</v>
      </c>
      <c r="B4" s="29">
        <v>2</v>
      </c>
      <c r="C4" s="28" t="s">
        <v>23</v>
      </c>
      <c r="D4" s="28" t="s">
        <v>23</v>
      </c>
      <c r="E4" s="29" t="s">
        <v>23</v>
      </c>
      <c r="F4" s="28" t="s">
        <v>23</v>
      </c>
      <c r="G4" s="30">
        <v>2000</v>
      </c>
      <c r="H4" s="28" t="s">
        <v>40</v>
      </c>
      <c r="I4" s="60" t="s">
        <v>48</v>
      </c>
    </row>
    <row r="5" spans="1:9" x14ac:dyDescent="0.4">
      <c r="A5" s="4" t="s">
        <v>46</v>
      </c>
      <c r="B5" s="29">
        <v>2</v>
      </c>
      <c r="C5" s="28" t="s">
        <v>23</v>
      </c>
      <c r="D5" s="28" t="s">
        <v>23</v>
      </c>
      <c r="E5" s="28">
        <f>AVERAGE(18,25)</f>
        <v>21.5</v>
      </c>
      <c r="F5" s="28">
        <f>Population_UP!B4*1000</f>
        <v>6956823588</v>
      </c>
      <c r="G5" s="30">
        <f>E5*1000000000000/F5</f>
        <v>3090.4909012046664</v>
      </c>
      <c r="H5" s="28" t="s">
        <v>41</v>
      </c>
      <c r="I5" s="60" t="s">
        <v>128</v>
      </c>
    </row>
    <row r="6" spans="1:9" x14ac:dyDescent="0.4">
      <c r="A6" s="4" t="s">
        <v>22</v>
      </c>
      <c r="B6" s="29">
        <v>2</v>
      </c>
      <c r="C6" s="28" t="s">
        <v>23</v>
      </c>
      <c r="D6" s="28" t="s">
        <v>23</v>
      </c>
      <c r="E6" s="28" t="s">
        <v>23</v>
      </c>
      <c r="F6" s="4"/>
      <c r="G6" s="31">
        <v>985</v>
      </c>
      <c r="H6" s="28" t="s">
        <v>41</v>
      </c>
      <c r="I6" s="4"/>
    </row>
    <row r="7" spans="1:9" x14ac:dyDescent="0.4">
      <c r="A7" s="4" t="s">
        <v>127</v>
      </c>
      <c r="B7" s="29">
        <v>2</v>
      </c>
      <c r="C7" s="28" t="s">
        <v>23</v>
      </c>
      <c r="D7" s="28" t="s">
        <v>23</v>
      </c>
      <c r="E7" s="28">
        <v>19</v>
      </c>
      <c r="F7" s="28">
        <f>9725000000</f>
        <v>9725000000</v>
      </c>
      <c r="G7" s="31">
        <f>E7*1000000000000/F7</f>
        <v>1953.7275064267353</v>
      </c>
      <c r="H7" s="28" t="s">
        <v>41</v>
      </c>
      <c r="I7" s="60" t="s">
        <v>129</v>
      </c>
    </row>
    <row r="8" spans="1:9" x14ac:dyDescent="0.4">
      <c r="A8" s="4" t="s">
        <v>127</v>
      </c>
      <c r="B8" s="29">
        <v>1.5</v>
      </c>
      <c r="C8" s="28" t="s">
        <v>23</v>
      </c>
      <c r="D8" s="28" t="s">
        <v>23</v>
      </c>
      <c r="E8" s="28">
        <v>13</v>
      </c>
      <c r="F8" s="28">
        <f>9725000000</f>
        <v>9725000000</v>
      </c>
      <c r="G8" s="31">
        <f>E8*1000000000000/F8</f>
        <v>1336.7609254498714</v>
      </c>
      <c r="H8" s="28" t="s">
        <v>41</v>
      </c>
      <c r="I8" s="60" t="s">
        <v>129</v>
      </c>
    </row>
    <row r="9" spans="1:9" x14ac:dyDescent="0.4">
      <c r="A9" s="4" t="s">
        <v>24</v>
      </c>
      <c r="B9" s="29"/>
      <c r="C9" s="28">
        <v>925</v>
      </c>
      <c r="D9" s="28" t="s">
        <v>25</v>
      </c>
      <c r="E9" s="29">
        <f>C9/(2300-2000)</f>
        <v>3.0833333333333335</v>
      </c>
      <c r="F9" s="28">
        <f>(SUM(Population_UP!B4:B94)+Population_UP!B94*200)*1000</f>
        <v>3047543591350.0005</v>
      </c>
      <c r="G9" s="30">
        <f>C9*1000000000000/F9</f>
        <v>303.52313995621751</v>
      </c>
      <c r="H9" s="28" t="s">
        <v>41</v>
      </c>
      <c r="I9" s="32" t="s">
        <v>26</v>
      </c>
    </row>
    <row r="10" spans="1:9" x14ac:dyDescent="0.4">
      <c r="A10" s="4" t="s">
        <v>27</v>
      </c>
      <c r="B10" s="29">
        <v>2</v>
      </c>
      <c r="C10" s="28">
        <v>1000</v>
      </c>
      <c r="D10" s="28" t="s">
        <v>109</v>
      </c>
      <c r="E10" s="28">
        <f>C10/(2100-2011)</f>
        <v>11.235955056179776</v>
      </c>
      <c r="F10" s="28">
        <f>SUM(Population_UP!B5:B94)*1000</f>
        <v>865508023962.00024</v>
      </c>
      <c r="G10" s="31">
        <f>C10*1000000000000/F10</f>
        <v>1155.3907905120757</v>
      </c>
      <c r="H10" s="28" t="s">
        <v>40</v>
      </c>
      <c r="I10" s="4"/>
    </row>
    <row r="11" spans="1:9" s="36" customFormat="1" ht="43.75" x14ac:dyDescent="0.4">
      <c r="A11" s="33" t="s">
        <v>28</v>
      </c>
      <c r="B11" s="61">
        <v>2</v>
      </c>
      <c r="C11" s="34">
        <v>1315.6</v>
      </c>
      <c r="D11" s="34" t="s">
        <v>29</v>
      </c>
      <c r="E11" s="34">
        <f>C11/(2100-2015)</f>
        <v>15.477647058823528</v>
      </c>
      <c r="F11" s="34">
        <f>SUM(Population_UP!B9:B94)*1000</f>
        <v>836835129037.00024</v>
      </c>
      <c r="G11" s="30">
        <f>C11*1000000000000/F11</f>
        <v>1572.1137346539756</v>
      </c>
      <c r="H11" s="34" t="s">
        <v>41</v>
      </c>
      <c r="I11" s="35" t="s">
        <v>30</v>
      </c>
    </row>
    <row r="12" spans="1:9" x14ac:dyDescent="0.4">
      <c r="A12" s="4" t="s">
        <v>31</v>
      </c>
      <c r="B12" s="29">
        <v>2</v>
      </c>
      <c r="C12" s="28" t="s">
        <v>23</v>
      </c>
      <c r="D12" s="28" t="s">
        <v>23</v>
      </c>
      <c r="E12" s="29">
        <v>6.81</v>
      </c>
      <c r="F12" s="29" t="s">
        <v>42</v>
      </c>
      <c r="G12" s="31">
        <v>985</v>
      </c>
      <c r="H12" s="28" t="s">
        <v>41</v>
      </c>
      <c r="I12" s="32" t="s">
        <v>32</v>
      </c>
    </row>
    <row r="13" spans="1:9" x14ac:dyDescent="0.4">
      <c r="A13" s="4" t="s">
        <v>143</v>
      </c>
      <c r="B13" s="29">
        <v>2</v>
      </c>
      <c r="C13" s="28">
        <v>570</v>
      </c>
      <c r="D13" s="28" t="s">
        <v>144</v>
      </c>
      <c r="E13" s="29">
        <f>C13/(2100-2018)</f>
        <v>6.9512195121951219</v>
      </c>
      <c r="F13" s="29" t="s">
        <v>42</v>
      </c>
      <c r="G13" s="31">
        <f>(E13*1000000000000)/(Population_UP!B12*1000)</f>
        <v>910.90768138691499</v>
      </c>
      <c r="H13" s="28" t="s">
        <v>40</v>
      </c>
      <c r="I13" s="32"/>
    </row>
    <row r="14" spans="1:9" x14ac:dyDescent="0.4">
      <c r="A14" s="4" t="s">
        <v>130</v>
      </c>
      <c r="B14" s="29">
        <v>1.5</v>
      </c>
      <c r="C14" s="28" t="s">
        <v>23</v>
      </c>
      <c r="D14" s="28" t="s">
        <v>23</v>
      </c>
      <c r="E14" s="29">
        <v>3.6</v>
      </c>
      <c r="F14" s="29" t="s">
        <v>42</v>
      </c>
      <c r="G14" s="31">
        <v>522</v>
      </c>
      <c r="H14" s="28" t="s">
        <v>41</v>
      </c>
      <c r="I14" s="32" t="s">
        <v>132</v>
      </c>
    </row>
    <row r="15" spans="1:9" x14ac:dyDescent="0.4">
      <c r="A15" s="55"/>
      <c r="B15" s="56"/>
      <c r="C15" s="56"/>
      <c r="D15" s="56"/>
      <c r="E15" s="57"/>
      <c r="F15" s="57"/>
      <c r="G15" s="58"/>
      <c r="H15" s="56"/>
      <c r="I15" s="59"/>
    </row>
    <row r="17" spans="4:6" x14ac:dyDescent="0.4">
      <c r="D17" s="39"/>
      <c r="E17" s="39"/>
      <c r="F17" s="39"/>
    </row>
    <row r="18" spans="4:6" x14ac:dyDescent="0.4">
      <c r="D18" s="40"/>
      <c r="E18" s="40"/>
      <c r="F18" s="40"/>
    </row>
    <row r="19" spans="4:6" x14ac:dyDescent="0.4">
      <c r="D19" s="40"/>
      <c r="E19" s="40"/>
      <c r="F19" s="40"/>
    </row>
    <row r="20" spans="4:6" x14ac:dyDescent="0.4">
      <c r="D20" s="39"/>
      <c r="E20" s="39"/>
      <c r="F20" s="39"/>
    </row>
    <row r="21" spans="4:6" x14ac:dyDescent="0.4">
      <c r="D21" s="39"/>
      <c r="E21" s="40"/>
      <c r="F21" s="4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51C-DBC9-4FC3-BECD-CE741E275B61}">
  <dimension ref="A1:D94"/>
  <sheetViews>
    <sheetView workbookViewId="0">
      <selection activeCell="B44" sqref="B44"/>
    </sheetView>
  </sheetViews>
  <sheetFormatPr defaultRowHeight="14.6" x14ac:dyDescent="0.4"/>
  <cols>
    <col min="1" max="1" width="9.15234375" style="97"/>
    <col min="2" max="2" width="22.15234375" bestFit="1" customWidth="1"/>
    <col min="4" max="4" width="18.84375" bestFit="1" customWidth="1"/>
  </cols>
  <sheetData>
    <row r="1" spans="1:2" ht="18.45" x14ac:dyDescent="0.5">
      <c r="A1" s="99" t="s">
        <v>121</v>
      </c>
    </row>
    <row r="2" spans="1:2" x14ac:dyDescent="0.4">
      <c r="A2" s="98" t="s">
        <v>120</v>
      </c>
    </row>
    <row r="3" spans="1:2" x14ac:dyDescent="0.4">
      <c r="A3" s="96" t="s">
        <v>8</v>
      </c>
      <c r="B3" s="24" t="s">
        <v>14</v>
      </c>
    </row>
    <row r="4" spans="1:2" x14ac:dyDescent="0.4">
      <c r="A4" s="97">
        <v>2010</v>
      </c>
      <c r="B4">
        <v>6956823.5880000005</v>
      </c>
    </row>
    <row r="5" spans="1:2" x14ac:dyDescent="0.4">
      <c r="A5" s="97">
        <v>2011</v>
      </c>
      <c r="B5">
        <v>7041194.1679999903</v>
      </c>
    </row>
    <row r="6" spans="1:2" x14ac:dyDescent="0.4">
      <c r="A6" s="97">
        <v>2012</v>
      </c>
      <c r="B6">
        <v>7125827.9570000004</v>
      </c>
    </row>
    <row r="7" spans="1:2" x14ac:dyDescent="0.4">
      <c r="A7" s="97">
        <v>2013</v>
      </c>
      <c r="B7">
        <v>7210582.0410000002</v>
      </c>
    </row>
    <row r="8" spans="1:2" x14ac:dyDescent="0.4">
      <c r="A8" s="97">
        <v>2014</v>
      </c>
      <c r="B8">
        <v>7295290.7589999996</v>
      </c>
    </row>
    <row r="9" spans="1:2" x14ac:dyDescent="0.4">
      <c r="A9" s="97">
        <v>2015</v>
      </c>
      <c r="B9">
        <v>7379796.9670000002</v>
      </c>
    </row>
    <row r="10" spans="1:2" x14ac:dyDescent="0.4">
      <c r="A10" s="97">
        <v>2016</v>
      </c>
      <c r="B10">
        <v>7464021.9340000004</v>
      </c>
    </row>
    <row r="11" spans="1:2" x14ac:dyDescent="0.4">
      <c r="A11" s="97">
        <v>2017</v>
      </c>
      <c r="B11">
        <v>7547858.9000000004</v>
      </c>
    </row>
    <row r="12" spans="1:2" x14ac:dyDescent="0.4">
      <c r="A12" s="97">
        <v>2018</v>
      </c>
      <c r="B12">
        <v>7631091.1129999999</v>
      </c>
    </row>
    <row r="13" spans="1:2" x14ac:dyDescent="0.4">
      <c r="A13" s="97">
        <v>2019</v>
      </c>
      <c r="B13">
        <v>7713468.2050000103</v>
      </c>
    </row>
    <row r="14" spans="1:2" x14ac:dyDescent="0.4">
      <c r="A14" s="97">
        <v>2020</v>
      </c>
      <c r="B14">
        <v>7794798.7290000003</v>
      </c>
    </row>
    <row r="15" spans="1:2" x14ac:dyDescent="0.4">
      <c r="A15" s="97">
        <v>2021</v>
      </c>
      <c r="B15">
        <v>7874965.7319999896</v>
      </c>
    </row>
    <row r="16" spans="1:2" x14ac:dyDescent="0.4">
      <c r="A16" s="97">
        <v>2022</v>
      </c>
      <c r="B16">
        <v>7953952.5769999996</v>
      </c>
    </row>
    <row r="17" spans="1:2" x14ac:dyDescent="0.4">
      <c r="A17" s="97">
        <v>2023</v>
      </c>
      <c r="B17">
        <v>8031800.3380000005</v>
      </c>
    </row>
    <row r="18" spans="1:2" x14ac:dyDescent="0.4">
      <c r="A18" s="97">
        <v>2024</v>
      </c>
      <c r="B18">
        <v>8108605.2549999999</v>
      </c>
    </row>
    <row r="19" spans="1:2" x14ac:dyDescent="0.4">
      <c r="A19" s="97">
        <v>2025</v>
      </c>
      <c r="B19">
        <v>8184437.4529999997</v>
      </c>
    </row>
    <row r="20" spans="1:2" x14ac:dyDescent="0.4">
      <c r="A20" s="97">
        <v>2026</v>
      </c>
      <c r="B20">
        <v>8259276.6509999903</v>
      </c>
    </row>
    <row r="21" spans="1:2" x14ac:dyDescent="0.4">
      <c r="A21" s="97">
        <v>2027</v>
      </c>
      <c r="B21">
        <v>8333078.318</v>
      </c>
    </row>
    <row r="22" spans="1:2" x14ac:dyDescent="0.4">
      <c r="A22" s="97">
        <v>2028</v>
      </c>
      <c r="B22">
        <v>8405863.3010000009</v>
      </c>
    </row>
    <row r="23" spans="1:2" x14ac:dyDescent="0.4">
      <c r="A23" s="97">
        <v>2029</v>
      </c>
      <c r="B23">
        <v>8477660.7230000105</v>
      </c>
    </row>
    <row r="24" spans="1:2" x14ac:dyDescent="0.4">
      <c r="A24" s="97">
        <v>2030</v>
      </c>
      <c r="B24">
        <v>8548487.3709999993</v>
      </c>
    </row>
    <row r="25" spans="1:2" x14ac:dyDescent="0.4">
      <c r="A25" s="97">
        <v>2031</v>
      </c>
      <c r="B25">
        <v>8618349.4539999906</v>
      </c>
    </row>
    <row r="26" spans="1:2" x14ac:dyDescent="0.4">
      <c r="A26" s="97">
        <v>2032</v>
      </c>
      <c r="B26">
        <v>8687227.8729999997</v>
      </c>
    </row>
    <row r="27" spans="1:2" x14ac:dyDescent="0.4">
      <c r="A27" s="97">
        <v>2033</v>
      </c>
      <c r="B27">
        <v>8755083.5120000001</v>
      </c>
    </row>
    <row r="28" spans="1:2" x14ac:dyDescent="0.4">
      <c r="A28" s="97">
        <v>2034</v>
      </c>
      <c r="B28">
        <v>8821862.7050000001</v>
      </c>
    </row>
    <row r="29" spans="1:2" x14ac:dyDescent="0.4">
      <c r="A29" s="97">
        <v>2035</v>
      </c>
      <c r="B29">
        <v>8887524.2290000003</v>
      </c>
    </row>
    <row r="30" spans="1:2" x14ac:dyDescent="0.4">
      <c r="A30" s="97">
        <v>2036</v>
      </c>
      <c r="B30">
        <v>8952048.8850000091</v>
      </c>
    </row>
    <row r="31" spans="1:2" x14ac:dyDescent="0.4">
      <c r="A31" s="97">
        <v>2037</v>
      </c>
      <c r="B31">
        <v>9015437.6160000004</v>
      </c>
    </row>
    <row r="32" spans="1:2" x14ac:dyDescent="0.4">
      <c r="A32" s="97">
        <v>2038</v>
      </c>
      <c r="B32">
        <v>9077693.6450000107</v>
      </c>
    </row>
    <row r="33" spans="1:4" x14ac:dyDescent="0.4">
      <c r="A33" s="97">
        <v>2039</v>
      </c>
      <c r="B33">
        <v>9138828.5620000102</v>
      </c>
    </row>
    <row r="34" spans="1:4" x14ac:dyDescent="0.4">
      <c r="A34" s="97">
        <v>2040</v>
      </c>
      <c r="B34">
        <v>9198847.3819999993</v>
      </c>
    </row>
    <row r="35" spans="1:4" x14ac:dyDescent="0.4">
      <c r="A35" s="97">
        <v>2041</v>
      </c>
      <c r="B35">
        <v>9257745.4829999991</v>
      </c>
      <c r="D35" s="101"/>
    </row>
    <row r="36" spans="1:4" x14ac:dyDescent="0.4">
      <c r="A36" s="97">
        <v>2042</v>
      </c>
      <c r="B36">
        <v>9315508.1530000009</v>
      </c>
    </row>
    <row r="37" spans="1:4" x14ac:dyDescent="0.4">
      <c r="A37" s="97">
        <v>2043</v>
      </c>
      <c r="B37">
        <v>9372118.2470000107</v>
      </c>
    </row>
    <row r="38" spans="1:4" x14ac:dyDescent="0.4">
      <c r="A38" s="97">
        <v>2044</v>
      </c>
      <c r="B38">
        <v>9427555.3819999993</v>
      </c>
    </row>
    <row r="39" spans="1:4" x14ac:dyDescent="0.4">
      <c r="A39" s="97">
        <v>2045</v>
      </c>
      <c r="B39">
        <v>9481803.2719999999</v>
      </c>
    </row>
    <row r="40" spans="1:4" x14ac:dyDescent="0.4">
      <c r="A40" s="97">
        <v>2046</v>
      </c>
      <c r="B40">
        <v>9534854.6730000004</v>
      </c>
    </row>
    <row r="41" spans="1:4" x14ac:dyDescent="0.4">
      <c r="A41" s="97">
        <v>2047</v>
      </c>
      <c r="B41">
        <v>9586707.7489999998</v>
      </c>
    </row>
    <row r="42" spans="1:4" x14ac:dyDescent="0.4">
      <c r="A42" s="97">
        <v>2048</v>
      </c>
      <c r="B42">
        <v>9637357.3200000003</v>
      </c>
    </row>
    <row r="43" spans="1:4" x14ac:dyDescent="0.4">
      <c r="A43" s="97">
        <v>2049</v>
      </c>
      <c r="B43">
        <v>9686800.1459999997</v>
      </c>
    </row>
    <row r="44" spans="1:4" x14ac:dyDescent="0.4">
      <c r="A44" s="97">
        <v>2050</v>
      </c>
      <c r="B44">
        <v>9735033.9000000004</v>
      </c>
    </row>
    <row r="45" spans="1:4" x14ac:dyDescent="0.4">
      <c r="A45" s="97">
        <v>2051</v>
      </c>
      <c r="B45">
        <v>9782061.7579999994</v>
      </c>
    </row>
    <row r="46" spans="1:4" x14ac:dyDescent="0.4">
      <c r="A46" s="97">
        <v>2052</v>
      </c>
      <c r="B46">
        <v>9827885.4409999996</v>
      </c>
    </row>
    <row r="47" spans="1:4" x14ac:dyDescent="0.4">
      <c r="A47" s="97">
        <v>2053</v>
      </c>
      <c r="B47">
        <v>9872501.5620000008</v>
      </c>
    </row>
    <row r="48" spans="1:4" x14ac:dyDescent="0.4">
      <c r="A48" s="97">
        <v>2054</v>
      </c>
      <c r="B48">
        <v>9915905.2510000095</v>
      </c>
    </row>
    <row r="49" spans="1:2" x14ac:dyDescent="0.4">
      <c r="A49" s="97">
        <v>2055</v>
      </c>
      <c r="B49">
        <v>9958098.7459999993</v>
      </c>
    </row>
    <row r="50" spans="1:2" x14ac:dyDescent="0.4">
      <c r="A50" s="97">
        <v>2056</v>
      </c>
      <c r="B50">
        <v>9999085.1669999994</v>
      </c>
    </row>
    <row r="51" spans="1:2" x14ac:dyDescent="0.4">
      <c r="A51" s="97">
        <v>2057</v>
      </c>
      <c r="B51">
        <v>10038881.262</v>
      </c>
    </row>
    <row r="52" spans="1:2" x14ac:dyDescent="0.4">
      <c r="A52" s="97">
        <v>2058</v>
      </c>
      <c r="B52">
        <v>10077518.08</v>
      </c>
    </row>
    <row r="53" spans="1:2" x14ac:dyDescent="0.4">
      <c r="A53" s="97">
        <v>2059</v>
      </c>
      <c r="B53">
        <v>10115036.359999999</v>
      </c>
    </row>
    <row r="54" spans="1:2" x14ac:dyDescent="0.4">
      <c r="A54" s="97">
        <v>2060</v>
      </c>
      <c r="B54">
        <v>10151469.683</v>
      </c>
    </row>
    <row r="55" spans="1:2" x14ac:dyDescent="0.4">
      <c r="A55" s="97">
        <v>2061</v>
      </c>
      <c r="B55">
        <v>10186837.209000001</v>
      </c>
    </row>
    <row r="56" spans="1:2" x14ac:dyDescent="0.4">
      <c r="A56" s="97">
        <v>2062</v>
      </c>
      <c r="B56">
        <v>10221149.039999999</v>
      </c>
    </row>
    <row r="57" spans="1:2" x14ac:dyDescent="0.4">
      <c r="A57" s="97">
        <v>2063</v>
      </c>
      <c r="B57">
        <v>10254419.004000001</v>
      </c>
    </row>
    <row r="58" spans="1:2" x14ac:dyDescent="0.4">
      <c r="A58" s="97">
        <v>2064</v>
      </c>
      <c r="B58">
        <v>10286658.354</v>
      </c>
    </row>
    <row r="59" spans="1:2" x14ac:dyDescent="0.4">
      <c r="A59" s="97">
        <v>2065</v>
      </c>
      <c r="B59">
        <v>10317879.314999999</v>
      </c>
    </row>
    <row r="60" spans="1:2" x14ac:dyDescent="0.4">
      <c r="A60" s="97">
        <v>2066</v>
      </c>
      <c r="B60">
        <v>10348098.079</v>
      </c>
    </row>
    <row r="61" spans="1:2" x14ac:dyDescent="0.4">
      <c r="A61" s="97">
        <v>2067</v>
      </c>
      <c r="B61">
        <v>10377330.83</v>
      </c>
    </row>
    <row r="62" spans="1:2" x14ac:dyDescent="0.4">
      <c r="A62" s="97">
        <v>2068</v>
      </c>
      <c r="B62">
        <v>10405590.532</v>
      </c>
    </row>
    <row r="63" spans="1:2" x14ac:dyDescent="0.4">
      <c r="A63" s="97">
        <v>2069</v>
      </c>
      <c r="B63">
        <v>10432889.136</v>
      </c>
    </row>
    <row r="64" spans="1:2" x14ac:dyDescent="0.4">
      <c r="A64" s="97">
        <v>2070</v>
      </c>
      <c r="B64">
        <v>10459239.501</v>
      </c>
    </row>
    <row r="65" spans="1:2" x14ac:dyDescent="0.4">
      <c r="A65" s="97">
        <v>2071</v>
      </c>
      <c r="B65">
        <v>10484654.857999999</v>
      </c>
    </row>
    <row r="66" spans="1:2" x14ac:dyDescent="0.4">
      <c r="A66" s="97">
        <v>2072</v>
      </c>
      <c r="B66">
        <v>10509150.402000001</v>
      </c>
    </row>
    <row r="67" spans="1:2" x14ac:dyDescent="0.4">
      <c r="A67" s="97">
        <v>2073</v>
      </c>
      <c r="B67">
        <v>10532742.861</v>
      </c>
    </row>
    <row r="68" spans="1:2" x14ac:dyDescent="0.4">
      <c r="A68" s="97">
        <v>2074</v>
      </c>
      <c r="B68">
        <v>10555450.003</v>
      </c>
    </row>
    <row r="69" spans="1:2" x14ac:dyDescent="0.4">
      <c r="A69" s="97">
        <v>2075</v>
      </c>
      <c r="B69">
        <v>10577288.195</v>
      </c>
    </row>
    <row r="70" spans="1:2" x14ac:dyDescent="0.4">
      <c r="A70" s="97">
        <v>2076</v>
      </c>
      <c r="B70">
        <v>10598274.172</v>
      </c>
    </row>
    <row r="71" spans="1:2" x14ac:dyDescent="0.4">
      <c r="A71" s="97">
        <v>2077</v>
      </c>
      <c r="B71">
        <v>10618420.909</v>
      </c>
    </row>
    <row r="72" spans="1:2" x14ac:dyDescent="0.4">
      <c r="A72" s="97">
        <v>2078</v>
      </c>
      <c r="B72">
        <v>10637736.819</v>
      </c>
    </row>
    <row r="73" spans="1:2" x14ac:dyDescent="0.4">
      <c r="A73" s="97">
        <v>2079</v>
      </c>
      <c r="B73">
        <v>10656228.232999999</v>
      </c>
    </row>
    <row r="74" spans="1:2" x14ac:dyDescent="0.4">
      <c r="A74" s="97">
        <v>2080</v>
      </c>
      <c r="B74">
        <v>10673904.454</v>
      </c>
    </row>
    <row r="75" spans="1:2" x14ac:dyDescent="0.4">
      <c r="A75" s="97">
        <v>2081</v>
      </c>
      <c r="B75">
        <v>10690773.335000001</v>
      </c>
    </row>
    <row r="76" spans="1:2" x14ac:dyDescent="0.4">
      <c r="A76" s="97">
        <v>2082</v>
      </c>
      <c r="B76">
        <v>10706852.426000001</v>
      </c>
    </row>
    <row r="77" spans="1:2" x14ac:dyDescent="0.4">
      <c r="A77" s="97">
        <v>2083</v>
      </c>
      <c r="B77">
        <v>10722171.375</v>
      </c>
    </row>
    <row r="78" spans="1:2" x14ac:dyDescent="0.4">
      <c r="A78" s="97">
        <v>2084</v>
      </c>
      <c r="B78">
        <v>10736765.444</v>
      </c>
    </row>
    <row r="79" spans="1:2" x14ac:dyDescent="0.4">
      <c r="A79" s="97">
        <v>2085</v>
      </c>
      <c r="B79">
        <v>10750662.353</v>
      </c>
    </row>
    <row r="80" spans="1:2" x14ac:dyDescent="0.4">
      <c r="A80" s="97">
        <v>2086</v>
      </c>
      <c r="B80">
        <v>10763874.023</v>
      </c>
    </row>
    <row r="81" spans="1:2" x14ac:dyDescent="0.4">
      <c r="A81" s="97">
        <v>2087</v>
      </c>
      <c r="B81">
        <v>10776402.018999999</v>
      </c>
    </row>
    <row r="82" spans="1:2" x14ac:dyDescent="0.4">
      <c r="A82" s="97">
        <v>2088</v>
      </c>
      <c r="B82">
        <v>10788248.948000001</v>
      </c>
    </row>
    <row r="83" spans="1:2" x14ac:dyDescent="0.4">
      <c r="A83" s="97">
        <v>2089</v>
      </c>
      <c r="B83">
        <v>10799413.366</v>
      </c>
    </row>
    <row r="84" spans="1:2" x14ac:dyDescent="0.4">
      <c r="A84" s="97">
        <v>2090</v>
      </c>
      <c r="B84">
        <v>10809892.302999999</v>
      </c>
    </row>
    <row r="85" spans="1:2" x14ac:dyDescent="0.4">
      <c r="A85" s="97">
        <v>2091</v>
      </c>
      <c r="B85">
        <v>10819682.642999999</v>
      </c>
    </row>
    <row r="86" spans="1:2" x14ac:dyDescent="0.4">
      <c r="A86" s="97">
        <v>2092</v>
      </c>
      <c r="B86">
        <v>10828780.959000001</v>
      </c>
    </row>
    <row r="87" spans="1:2" x14ac:dyDescent="0.4">
      <c r="A87" s="97">
        <v>2093</v>
      </c>
      <c r="B87">
        <v>10837182.077</v>
      </c>
    </row>
    <row r="88" spans="1:2" x14ac:dyDescent="0.4">
      <c r="A88" s="97">
        <v>2094</v>
      </c>
      <c r="B88">
        <v>10844878.798</v>
      </c>
    </row>
    <row r="89" spans="1:2" x14ac:dyDescent="0.4">
      <c r="A89" s="97">
        <v>2095</v>
      </c>
      <c r="B89">
        <v>10851860.145</v>
      </c>
    </row>
    <row r="90" spans="1:2" x14ac:dyDescent="0.4">
      <c r="A90" s="97">
        <v>2096</v>
      </c>
      <c r="B90">
        <v>10858111.586999999</v>
      </c>
    </row>
    <row r="91" spans="1:2" x14ac:dyDescent="0.4">
      <c r="A91" s="97">
        <v>2097</v>
      </c>
      <c r="B91">
        <v>10863614.776000001</v>
      </c>
    </row>
    <row r="92" spans="1:2" x14ac:dyDescent="0.4">
      <c r="A92" s="97">
        <v>2098</v>
      </c>
      <c r="B92">
        <v>10868347.636</v>
      </c>
    </row>
    <row r="93" spans="1:2" x14ac:dyDescent="0.4">
      <c r="A93" s="97">
        <v>2099</v>
      </c>
      <c r="B93">
        <v>10872284.134</v>
      </c>
    </row>
    <row r="94" spans="1:2" x14ac:dyDescent="0.4">
      <c r="A94" s="97">
        <v>2100</v>
      </c>
      <c r="B94">
        <v>10875393.719000001</v>
      </c>
    </row>
  </sheetData>
  <hyperlinks>
    <hyperlink ref="A2" r:id="rId1" xr:uid="{F27CF495-C2D5-4E4B-B21A-4050417061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132-AE40-4182-9ACF-3EE88EB8B76A}">
  <dimension ref="A2:D12"/>
  <sheetViews>
    <sheetView tabSelected="1" workbookViewId="0">
      <selection activeCell="J21" sqref="J21"/>
    </sheetView>
  </sheetViews>
  <sheetFormatPr defaultRowHeight="14.6" x14ac:dyDescent="0.4"/>
  <cols>
    <col min="1" max="1" width="44.69140625" bestFit="1" customWidth="1"/>
    <col min="2" max="2" width="13" bestFit="1" customWidth="1"/>
    <col min="3" max="3" width="19.3828125" bestFit="1" customWidth="1"/>
  </cols>
  <sheetData>
    <row r="2" spans="1:4" x14ac:dyDescent="0.4">
      <c r="A2" t="s">
        <v>135</v>
      </c>
      <c r="B2" s="63">
        <v>59</v>
      </c>
      <c r="C2" s="63" t="s">
        <v>134</v>
      </c>
      <c r="D2" s="105" t="s">
        <v>136</v>
      </c>
    </row>
    <row r="3" spans="1:4" x14ac:dyDescent="0.4">
      <c r="A3" t="s">
        <v>137</v>
      </c>
      <c r="B3" s="106">
        <f>Population_UP!B13*1000</f>
        <v>7713468205.0000105</v>
      </c>
      <c r="C3" s="63" t="s">
        <v>139</v>
      </c>
      <c r="D3" s="105" t="s">
        <v>138</v>
      </c>
    </row>
    <row r="4" spans="1:4" x14ac:dyDescent="0.4">
      <c r="A4" t="s">
        <v>140</v>
      </c>
      <c r="B4" s="106">
        <f>B2*1000000000000/B3</f>
        <v>7648.9587345099999</v>
      </c>
      <c r="C4" s="63" t="s">
        <v>141</v>
      </c>
    </row>
    <row r="5" spans="1:4" x14ac:dyDescent="0.4">
      <c r="B5" s="6"/>
    </row>
    <row r="6" spans="1:4" x14ac:dyDescent="0.4">
      <c r="A6" t="s">
        <v>142</v>
      </c>
      <c r="B6">
        <f>690/1000</f>
        <v>0.69</v>
      </c>
      <c r="C6" s="63" t="s">
        <v>134</v>
      </c>
    </row>
    <row r="7" spans="1:4" x14ac:dyDescent="0.4">
      <c r="B7" s="6">
        <f>B6/B2</f>
        <v>1.1694915254237288E-2</v>
      </c>
    </row>
    <row r="9" spans="1:4" x14ac:dyDescent="0.4">
      <c r="A9" t="s">
        <v>146</v>
      </c>
      <c r="B9">
        <v>230</v>
      </c>
      <c r="C9" t="s">
        <v>147</v>
      </c>
    </row>
    <row r="10" spans="1:4" x14ac:dyDescent="0.4">
      <c r="A10" t="s">
        <v>149</v>
      </c>
      <c r="B10">
        <v>5000000000</v>
      </c>
    </row>
    <row r="11" spans="1:4" x14ac:dyDescent="0.4">
      <c r="B11" s="126">
        <f>B9*B10/1000000000000</f>
        <v>1.1499999999999999</v>
      </c>
      <c r="C11" t="s">
        <v>148</v>
      </c>
    </row>
    <row r="12" spans="1:4" x14ac:dyDescent="0.4">
      <c r="B12" s="6">
        <f>B6/B11</f>
        <v>0.6</v>
      </c>
    </row>
  </sheetData>
  <hyperlinks>
    <hyperlink ref="D2" r:id="rId1" xr:uid="{831D5B42-5179-473F-8305-CFD17C2F7424}"/>
    <hyperlink ref="D3" location="Population_UP!A1" display="Population_UP!A1" xr:uid="{B1FD84CF-0B0B-4009-BE16-EF7B2AA8FAB2}"/>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B49-7FE0-42FC-9FE6-19AD5E7A8422}">
  <dimension ref="A1:A10"/>
  <sheetViews>
    <sheetView workbookViewId="0">
      <selection activeCell="I31" sqref="I31"/>
    </sheetView>
  </sheetViews>
  <sheetFormatPr defaultRowHeight="14.6" x14ac:dyDescent="0.4"/>
  <sheetData>
    <row r="1" spans="1:1" x14ac:dyDescent="0.4">
      <c r="A1" s="37" t="s">
        <v>33</v>
      </c>
    </row>
    <row r="2" spans="1:1" x14ac:dyDescent="0.4">
      <c r="A2" s="38" t="s">
        <v>34</v>
      </c>
    </row>
    <row r="3" spans="1:1" x14ac:dyDescent="0.4">
      <c r="A3" s="38" t="s">
        <v>35</v>
      </c>
    </row>
    <row r="4" spans="1:1" x14ac:dyDescent="0.4">
      <c r="A4" s="38" t="s">
        <v>36</v>
      </c>
    </row>
    <row r="5" spans="1:1" x14ac:dyDescent="0.4">
      <c r="A5" s="38" t="s">
        <v>37</v>
      </c>
    </row>
    <row r="6" spans="1:1" x14ac:dyDescent="0.4">
      <c r="A6" s="41" t="s">
        <v>38</v>
      </c>
    </row>
    <row r="7" spans="1:1" x14ac:dyDescent="0.4">
      <c r="A7" s="38" t="s">
        <v>145</v>
      </c>
    </row>
    <row r="8" spans="1:1" x14ac:dyDescent="0.4">
      <c r="A8" t="s">
        <v>43</v>
      </c>
    </row>
    <row r="9" spans="1:1" x14ac:dyDescent="0.4">
      <c r="A9" s="41" t="s">
        <v>131</v>
      </c>
    </row>
    <row r="10" spans="1:1" x14ac:dyDescent="0.4">
      <c r="A10" s="4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Carrying_capacities</vt:lpstr>
      <vt:lpstr>Carbon_budget_IPCC</vt:lpstr>
      <vt:lpstr>Carbon_budget_literature</vt:lpstr>
      <vt:lpstr>Population_UP</vt:lpstr>
      <vt:lpstr>GWP_per_capita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2022-10-19T15:01:11Z</dcterms:modified>
</cp:coreProperties>
</file>