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1BCFDC57-8D4F-4F79-B639-3B5E6CCBE3B9}" xr6:coauthVersionLast="36" xr6:coauthVersionMax="36" xr10:uidLastSave="{00000000-0000-0000-0000-000000000000}"/>
  <bookViews>
    <workbookView xWindow="0" yWindow="0" windowWidth="11717" windowHeight="3454" tabRatio="850" activeTab="2" xr2:uid="{00000000-000D-0000-FFFF-FFFF00000000}"/>
  </bookViews>
  <sheets>
    <sheet name="Meta_Data" sheetId="4" r:id="rId1"/>
    <sheet name="Digital_Content_Consumption" sheetId="30" r:id="rId2"/>
    <sheet name="Devices_Use" sheetId="58" r:id="rId3"/>
    <sheet name="Data_Traffic" sheetId="25" r:id="rId4"/>
    <sheet name="Electricity_Intensity" sheetId="32" r:id="rId5"/>
    <sheet name="Infrastructure" sheetId="50" r:id="rId6"/>
    <sheet name="Regional" sheetId="54" r:id="rId7"/>
    <sheet name="data_traffic_dataset" sheetId="11" r:id="rId8"/>
    <sheet name="ei_devices_dataset" sheetId="61" r:id="rId9"/>
    <sheet name="ei_tv_dataset" sheetId="34" r:id="rId10"/>
    <sheet name="Sources" sheetId="52" r:id="rId11"/>
    <sheet name="Time_by_Device" sheetId="59" r:id="rId12"/>
    <sheet name="Internet_Users" sheetId="43" r:id="rId13"/>
    <sheet name="External_Costs" sheetId="49" r:id="rId14"/>
    <sheet name="internet_users_data" sheetId="22" r:id="rId15"/>
    <sheet name="pop_r" sheetId="2" r:id="rId16"/>
  </sheets>
  <definedNames>
    <definedName name="_xlnm._FilterDatabase" localSheetId="13" hidden="1">#REF!</definedName>
    <definedName name="_xlnm._FilterDatabase" localSheetId="10" hidden="1">Sources!$A$1:$A$10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2" l="1"/>
  <c r="F5" i="32" l="1"/>
  <c r="E5" i="32"/>
  <c r="F34" i="61"/>
  <c r="D30" i="61"/>
  <c r="F30" i="61" s="1"/>
  <c r="F25" i="61"/>
  <c r="D21" i="61"/>
  <c r="F21" i="61" s="1"/>
  <c r="D19" i="61"/>
  <c r="F19" i="61" s="1"/>
  <c r="D20" i="61"/>
  <c r="F20" i="61" s="1"/>
  <c r="D18" i="61"/>
  <c r="F18" i="61" s="1"/>
  <c r="D12" i="61"/>
  <c r="F12" i="61" s="1"/>
  <c r="D10" i="61"/>
  <c r="F10" i="61" s="1"/>
  <c r="D11" i="61"/>
  <c r="F11" i="61" s="1"/>
  <c r="D9" i="61"/>
  <c r="F9" i="61" s="1"/>
  <c r="F24" i="61"/>
  <c r="D23" i="61"/>
  <c r="F23" i="61" s="1"/>
  <c r="D22" i="61"/>
  <c r="F22" i="61" s="1"/>
  <c r="F16" i="61"/>
  <c r="F15" i="61"/>
  <c r="F14" i="61"/>
  <c r="F13" i="61"/>
  <c r="F3" i="61"/>
  <c r="F4" i="61"/>
  <c r="F5" i="61"/>
  <c r="F2" i="61"/>
  <c r="F4" i="32"/>
  <c r="E4" i="32"/>
  <c r="C26" i="50"/>
  <c r="D26" i="50"/>
  <c r="B26" i="50"/>
  <c r="I5" i="50"/>
  <c r="H5" i="50"/>
  <c r="G5" i="50"/>
  <c r="D29" i="61" l="1"/>
  <c r="F29" i="61" s="1"/>
  <c r="F37" i="61" l="1"/>
  <c r="F36" i="61"/>
  <c r="F35" i="61"/>
  <c r="D33" i="61"/>
  <c r="D32" i="61"/>
  <c r="D31" i="61"/>
  <c r="F31" i="61" s="1"/>
  <c r="F28" i="61"/>
  <c r="F27" i="61"/>
  <c r="F26" i="61"/>
  <c r="F17" i="61"/>
  <c r="F6" i="61"/>
  <c r="F32" i="61" l="1"/>
  <c r="D38" i="61"/>
  <c r="F38" i="61" s="1"/>
  <c r="D39" i="61"/>
  <c r="F39" i="61" s="1"/>
  <c r="F33" i="61"/>
  <c r="C33" i="50" l="1"/>
  <c r="D33" i="50"/>
  <c r="B33" i="50"/>
  <c r="C30" i="50"/>
  <c r="D30" i="50"/>
  <c r="C31" i="50"/>
  <c r="D31" i="50"/>
  <c r="B30" i="50"/>
  <c r="B31" i="50"/>
  <c r="C29" i="50"/>
  <c r="D29" i="50"/>
  <c r="B29" i="50"/>
  <c r="C28" i="50"/>
  <c r="D28" i="50"/>
  <c r="B28" i="50"/>
  <c r="C27" i="50"/>
  <c r="D27" i="50"/>
  <c r="B27" i="50"/>
  <c r="C25" i="50"/>
  <c r="D25" i="50"/>
  <c r="B25" i="50"/>
  <c r="B7" i="59" l="1"/>
  <c r="B6" i="59"/>
  <c r="B4" i="59"/>
  <c r="C19" i="50" l="1"/>
  <c r="I19" i="50" l="1"/>
  <c r="C36" i="50"/>
  <c r="D36" i="50"/>
  <c r="B36" i="50"/>
  <c r="H19" i="50"/>
  <c r="G19" i="50"/>
  <c r="C18" i="50" l="1"/>
  <c r="G18" i="50" l="1"/>
  <c r="C35" i="50"/>
  <c r="B35" i="50"/>
  <c r="D35" i="50"/>
  <c r="C20" i="50"/>
  <c r="H18" i="50"/>
  <c r="I18" i="50"/>
  <c r="C37" i="50" l="1"/>
  <c r="D37" i="50"/>
  <c r="B37" i="50"/>
  <c r="G20" i="50"/>
  <c r="I20" i="50"/>
  <c r="H20" i="50"/>
  <c r="C5" i="54" l="1"/>
  <c r="D9" i="54" l="1"/>
  <c r="D8" i="54"/>
  <c r="D4" i="54"/>
  <c r="J4" i="54" s="1"/>
  <c r="D5" i="54"/>
  <c r="D3" i="54"/>
  <c r="H7" i="50"/>
  <c r="I7" i="50"/>
  <c r="G7" i="50"/>
  <c r="H6" i="50"/>
  <c r="I6" i="50"/>
  <c r="G6" i="50"/>
  <c r="J5" i="54" l="1"/>
  <c r="K5" i="54"/>
  <c r="L5" i="54"/>
  <c r="I10" i="50"/>
  <c r="K10" i="50" s="1"/>
  <c r="I9" i="50"/>
  <c r="K9" i="50" s="1"/>
  <c r="I8" i="50"/>
  <c r="K8" i="50" s="1"/>
  <c r="H10" i="50"/>
  <c r="L10" i="50" s="1"/>
  <c r="H9" i="50"/>
  <c r="L9" i="50" s="1"/>
  <c r="H8" i="50"/>
  <c r="L8" i="50" s="1"/>
  <c r="G9" i="50"/>
  <c r="G10" i="50"/>
  <c r="G8" i="50"/>
  <c r="K5" i="50"/>
  <c r="L5" i="50"/>
  <c r="K6" i="50"/>
  <c r="L6" i="50"/>
  <c r="K7" i="50"/>
  <c r="L7" i="50"/>
  <c r="I4" i="50"/>
  <c r="K4" i="50" s="1"/>
  <c r="H4" i="50"/>
  <c r="L4" i="50" s="1"/>
  <c r="G4" i="50"/>
  <c r="C6" i="30" l="1"/>
  <c r="S15" i="58" s="1"/>
  <c r="C4" i="30"/>
  <c r="B6" i="58" s="1"/>
  <c r="C5" i="30"/>
  <c r="C3" i="30"/>
  <c r="B6" i="30"/>
  <c r="S5" i="58" l="1"/>
  <c r="L5" i="58"/>
  <c r="J5" i="58"/>
  <c r="R5" i="58"/>
  <c r="Q5" i="58"/>
  <c r="P5" i="58"/>
  <c r="K5" i="58"/>
  <c r="I5" i="58"/>
  <c r="B5" i="58"/>
  <c r="Q12" i="58"/>
  <c r="R12" i="58"/>
  <c r="S12" i="58"/>
  <c r="B10" i="58"/>
  <c r="K11" i="58"/>
  <c r="J11" i="58"/>
  <c r="L11" i="58"/>
  <c r="K14" i="58"/>
  <c r="D13" i="58"/>
  <c r="L14" i="58"/>
  <c r="R15" i="58"/>
  <c r="P12" i="58"/>
  <c r="I11" i="58"/>
  <c r="V9" i="58"/>
  <c r="D7" i="59" s="1"/>
  <c r="P8" i="58"/>
  <c r="Q8" i="58"/>
  <c r="R8" i="58"/>
  <c r="S8" i="58"/>
  <c r="I8" i="58"/>
  <c r="J7" i="58"/>
  <c r="J8" i="58"/>
  <c r="K7" i="58"/>
  <c r="K8" i="58"/>
  <c r="L7" i="58"/>
  <c r="L8" i="58"/>
  <c r="M7" i="58"/>
  <c r="N8" i="58"/>
  <c r="I7" i="58"/>
  <c r="D6" i="58"/>
  <c r="D12" i="32"/>
  <c r="G12" i="32" l="1"/>
  <c r="E5" i="54"/>
  <c r="H5" i="54" s="1"/>
  <c r="I5" i="54" s="1"/>
  <c r="B5" i="59"/>
  <c r="C7" i="59"/>
  <c r="E12" i="32"/>
  <c r="F5" i="54" s="1"/>
  <c r="F12" i="32"/>
  <c r="G5" i="54" s="1"/>
  <c r="G8" i="54" l="1"/>
  <c r="F8" i="54"/>
  <c r="F4" i="54"/>
  <c r="G4" i="54"/>
  <c r="F3" i="54"/>
  <c r="G3" i="54"/>
  <c r="F9" i="54"/>
  <c r="G9" i="54"/>
  <c r="L4" i="54"/>
  <c r="K4" i="54"/>
  <c r="K8" i="54"/>
  <c r="L8" i="54"/>
  <c r="J8" i="54"/>
  <c r="J3" i="54"/>
  <c r="K3" i="54"/>
  <c r="L3" i="54"/>
  <c r="J9" i="54"/>
  <c r="K9" i="54"/>
  <c r="L9" i="54"/>
  <c r="D10" i="32"/>
  <c r="F9" i="32"/>
  <c r="E9" i="32"/>
  <c r="D9" i="32"/>
  <c r="G9" i="32" s="1"/>
  <c r="F10" i="32" l="1"/>
  <c r="G10" i="32"/>
  <c r="G11" i="50"/>
  <c r="E10" i="32"/>
  <c r="E9" i="54"/>
  <c r="H9" i="54" s="1"/>
  <c r="I9" i="54" s="1"/>
  <c r="E4" i="54"/>
  <c r="H4" i="54" s="1"/>
  <c r="I4" i="54" s="1"/>
  <c r="E3" i="54"/>
  <c r="H3" i="54" s="1"/>
  <c r="I3" i="54" s="1"/>
  <c r="E8" i="54"/>
  <c r="H8" i="54" s="1"/>
  <c r="I8" i="54" s="1"/>
  <c r="I14" i="54" l="1"/>
  <c r="H14" i="54"/>
  <c r="J6" i="50"/>
  <c r="J7" i="50"/>
  <c r="J8" i="50"/>
  <c r="J9" i="50"/>
  <c r="J10" i="50"/>
  <c r="J11" i="50"/>
  <c r="J5" i="50"/>
  <c r="J4" i="50"/>
  <c r="D7" i="43" l="1"/>
  <c r="E7" i="43" s="1"/>
  <c r="D6" i="43"/>
  <c r="E6" i="43" s="1"/>
  <c r="C9" i="43" l="1"/>
  <c r="B9" i="43"/>
  <c r="C8" i="43"/>
  <c r="B8" i="43"/>
  <c r="C3" i="43"/>
  <c r="B3" i="43"/>
  <c r="C4" i="43"/>
  <c r="B4" i="43"/>
  <c r="D2" i="43"/>
  <c r="D5" i="43"/>
  <c r="E5" i="43" s="1"/>
  <c r="D11" i="43"/>
  <c r="D12" i="43"/>
  <c r="E12" i="43" s="1"/>
  <c r="D10" i="43"/>
  <c r="E10" i="43" s="1"/>
  <c r="E11" i="43" l="1"/>
  <c r="B13" i="43"/>
  <c r="E2" i="43"/>
  <c r="D9" i="43"/>
  <c r="E9" i="43" s="1"/>
  <c r="D3" i="43"/>
  <c r="E3" i="43" s="1"/>
  <c r="D4" i="43"/>
  <c r="E4" i="43" s="1"/>
  <c r="D8" i="43"/>
  <c r="E8" i="43" s="1"/>
  <c r="D13" i="43" l="1"/>
  <c r="E13" i="43"/>
  <c r="C2" i="30"/>
  <c r="S4" i="58" l="1"/>
  <c r="D6" i="59" s="1"/>
  <c r="R4" i="58"/>
  <c r="D5" i="59" s="1"/>
  <c r="Q4" i="58"/>
  <c r="D4" i="59" s="1"/>
  <c r="P4" i="58"/>
  <c r="D3" i="59" s="1"/>
  <c r="K4" i="58"/>
  <c r="C5" i="59" s="1"/>
  <c r="J4" i="58"/>
  <c r="C4" i="59" s="1"/>
  <c r="I4" i="58"/>
  <c r="C3" i="59" s="1"/>
  <c r="L4" i="58"/>
  <c r="C6" i="59" s="1"/>
  <c r="B4" i="58"/>
  <c r="B3" i="59" s="1"/>
  <c r="C13" i="43"/>
  <c r="G4" i="59" l="1"/>
  <c r="F6" i="59"/>
  <c r="F5" i="59"/>
  <c r="E3" i="59"/>
  <c r="E7" i="59"/>
  <c r="E4" i="59"/>
  <c r="E6" i="59"/>
  <c r="E5" i="59"/>
  <c r="F4" i="59"/>
  <c r="G5" i="59"/>
  <c r="F3" i="59"/>
  <c r="F7" i="59"/>
  <c r="G3" i="59"/>
  <c r="G7" i="59"/>
  <c r="G6" i="59"/>
  <c r="O6" i="34"/>
  <c r="F7" i="32" s="1"/>
  <c r="O7" i="34"/>
  <c r="F8" i="32" s="1"/>
  <c r="O5" i="34"/>
  <c r="F6" i="32" s="1"/>
  <c r="N6" i="34"/>
  <c r="E7" i="32" s="1"/>
  <c r="N7" i="34"/>
  <c r="E8" i="32" s="1"/>
  <c r="N5" i="34"/>
  <c r="E6" i="32" s="1"/>
  <c r="M6" i="34"/>
  <c r="D7" i="32" s="1"/>
  <c r="G7" i="32" s="1"/>
  <c r="M7" i="34"/>
  <c r="D8" i="32" s="1"/>
  <c r="G8" i="32" s="1"/>
  <c r="M5" i="34"/>
  <c r="D6" i="32" s="1"/>
  <c r="G6" i="32" s="1"/>
  <c r="D37" i="11" l="1"/>
  <c r="D15" i="11"/>
  <c r="D14" i="11"/>
  <c r="D10" i="11"/>
  <c r="D9" i="11"/>
  <c r="D7" i="11"/>
  <c r="D4" i="11"/>
  <c r="D3" i="11"/>
  <c r="D2" i="11"/>
  <c r="C4" i="25" l="1"/>
  <c r="D4" i="25"/>
  <c r="E4" i="25"/>
  <c r="E3" i="25"/>
  <c r="C3" i="25"/>
  <c r="D3" i="25"/>
  <c r="F8" i="22" l="1"/>
  <c r="G8" i="22" s="1"/>
  <c r="F9" i="22"/>
  <c r="G9" i="22" s="1"/>
  <c r="F10" i="22"/>
  <c r="G10" i="22" s="1"/>
  <c r="F11" i="22"/>
  <c r="G11" i="22" s="1"/>
  <c r="F12" i="22"/>
  <c r="G12" i="22" s="1"/>
  <c r="F13" i="22"/>
  <c r="G13" i="22" s="1"/>
  <c r="F14" i="22"/>
  <c r="G14" i="22" s="1"/>
  <c r="F15" i="22"/>
  <c r="G15" i="22" s="1"/>
  <c r="F16" i="22"/>
  <c r="G16" i="22" s="1"/>
  <c r="F17" i="22"/>
  <c r="G17" i="22" s="1"/>
  <c r="F18" i="22"/>
  <c r="G18" i="22" s="1"/>
  <c r="F19" i="22"/>
  <c r="G19" i="22" s="1"/>
  <c r="F20" i="22"/>
  <c r="G20" i="22" s="1"/>
  <c r="F21" i="22"/>
  <c r="G21" i="22" s="1"/>
  <c r="F22" i="22"/>
  <c r="G22" i="22" s="1"/>
  <c r="F23" i="22"/>
  <c r="G23" i="22" s="1"/>
  <c r="F24" i="22"/>
  <c r="G24" i="22" s="1"/>
  <c r="F25" i="22"/>
  <c r="G25" i="22" s="1"/>
  <c r="F7" i="22"/>
  <c r="G7" i="22" s="1"/>
  <c r="E8" i="22"/>
  <c r="E9" i="22"/>
  <c r="E10" i="22"/>
  <c r="E11" i="22"/>
  <c r="E12" i="22"/>
  <c r="E13" i="22"/>
  <c r="E14" i="22"/>
  <c r="E15" i="22"/>
  <c r="E16" i="22"/>
  <c r="E17" i="22"/>
  <c r="E18" i="22"/>
  <c r="E19" i="22"/>
  <c r="E20" i="22"/>
  <c r="E21" i="22"/>
  <c r="E22" i="22"/>
  <c r="E23" i="22"/>
  <c r="E24" i="22"/>
  <c r="E25" i="22"/>
  <c r="E7" i="22"/>
  <c r="D49" i="11" l="1"/>
  <c r="D53" i="11"/>
  <c r="D48" i="11"/>
  <c r="D47" i="11"/>
  <c r="D50" i="11"/>
  <c r="D52" i="11"/>
  <c r="D51" i="11"/>
  <c r="D54" i="11"/>
  <c r="D44" i="11"/>
  <c r="D45" i="11"/>
  <c r="D46" i="11"/>
  <c r="D42" i="11"/>
  <c r="D40" i="11"/>
  <c r="D38" i="11"/>
  <c r="D43" i="11"/>
  <c r="D41" i="11"/>
  <c r="D39" i="11"/>
  <c r="D56" i="11"/>
  <c r="D29" i="11"/>
  <c r="D21" i="11"/>
  <c r="D8" i="25" l="1"/>
  <c r="C8" i="25"/>
  <c r="E8" i="25"/>
  <c r="D13" i="25"/>
  <c r="C13" i="25"/>
  <c r="E13" i="25"/>
  <c r="C10" i="25"/>
  <c r="D10" i="25"/>
  <c r="E10" i="25"/>
  <c r="E12" i="25"/>
  <c r="D12" i="25"/>
  <c r="C12" i="25"/>
  <c r="C2" i="25"/>
  <c r="D2" i="25"/>
  <c r="E2" i="25"/>
  <c r="E11" i="25"/>
  <c r="C11" i="25"/>
  <c r="D11" i="25"/>
  <c r="C9" i="25"/>
  <c r="D9" i="25"/>
  <c r="E9" i="25"/>
  <c r="D36" i="11" l="1"/>
  <c r="D28" i="11"/>
  <c r="D20" i="11"/>
  <c r="D35" i="11"/>
  <c r="D27" i="11"/>
  <c r="D19" i="11"/>
  <c r="D31" i="11"/>
  <c r="C7" i="25" s="1"/>
  <c r="D23" i="11"/>
  <c r="D17" i="11"/>
  <c r="E7" i="25" l="1"/>
  <c r="D7" i="25"/>
  <c r="C5" i="25"/>
  <c r="D5" i="25"/>
  <c r="E5" i="25"/>
  <c r="C6" i="25"/>
  <c r="D6" i="25"/>
  <c r="E6" i="25"/>
  <c r="J8" i="2" l="1"/>
  <c r="I8" i="2"/>
  <c r="J7" i="2"/>
  <c r="I7" i="2"/>
  <c r="J6" i="2"/>
  <c r="I6" i="2"/>
  <c r="J5" i="2"/>
  <c r="I5" i="2"/>
  <c r="J4" i="2"/>
  <c r="I4" i="2"/>
  <c r="I10" i="2" l="1"/>
  <c r="J10" i="2"/>
</calcChain>
</file>

<file path=xl/sharedStrings.xml><?xml version="1.0" encoding="utf-8"?>
<sst xmlns="http://schemas.openxmlformats.org/spreadsheetml/2006/main" count="1859" uniqueCount="771">
  <si>
    <t>Activity</t>
  </si>
  <si>
    <t>Platform</t>
  </si>
  <si>
    <t>Social media</t>
  </si>
  <si>
    <t>Facebook</t>
  </si>
  <si>
    <t>Twitter</t>
  </si>
  <si>
    <t>Instagram</t>
  </si>
  <si>
    <t>Netflix</t>
  </si>
  <si>
    <t>Hulu</t>
  </si>
  <si>
    <t>Spotify</t>
  </si>
  <si>
    <t>Skype</t>
  </si>
  <si>
    <t>Zoom</t>
  </si>
  <si>
    <t>Population estimates and projections | DataBank (worldbank.org)</t>
  </si>
  <si>
    <t>Country Name</t>
  </si>
  <si>
    <t>Country Code</t>
  </si>
  <si>
    <t>Series Name</t>
  </si>
  <si>
    <t>Series Code</t>
  </si>
  <si>
    <t>2020 [YR2020]</t>
  </si>
  <si>
    <t>2030 [YR2030]</t>
  </si>
  <si>
    <t>Africa Eastern and Southern</t>
  </si>
  <si>
    <t>AFE</t>
  </si>
  <si>
    <t>Population, total</t>
  </si>
  <si>
    <t>SP.POP.TOTL</t>
  </si>
  <si>
    <t>North America</t>
  </si>
  <si>
    <t>Africa Western and Central</t>
  </si>
  <si>
    <t>AFW</t>
  </si>
  <si>
    <t>Asia Pacific</t>
  </si>
  <si>
    <t>Arab World</t>
  </si>
  <si>
    <t>ARB</t>
  </si>
  <si>
    <t>Europe</t>
  </si>
  <si>
    <t>Caribbean small states</t>
  </si>
  <si>
    <t>CSS</t>
  </si>
  <si>
    <t>Latin America</t>
  </si>
  <si>
    <t>Central Europe and the Baltics</t>
  </si>
  <si>
    <t>CEB</t>
  </si>
  <si>
    <t>Middle East and Africa</t>
  </si>
  <si>
    <t>Early-demographic dividend</t>
  </si>
  <si>
    <t>EAR</t>
  </si>
  <si>
    <t>East Asia &amp; Pacific</t>
  </si>
  <si>
    <t>EAS</t>
  </si>
  <si>
    <t>World</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</si>
  <si>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</si>
  <si>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</si>
  <si>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</si>
  <si>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</si>
  <si>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</si>
  <si>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</si>
  <si>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</si>
  <si>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</si>
  <si>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</si>
  <si>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</si>
  <si>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</si>
  <si>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</si>
  <si>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</si>
  <si>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</si>
  <si>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</si>
  <si>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</si>
  <si>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</si>
  <si>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</si>
  <si>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</si>
  <si>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</si>
  <si>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</si>
  <si>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</si>
  <si>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</si>
  <si>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</si>
  <si>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</si>
  <si>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</si>
  <si>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</si>
  <si>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</si>
  <si>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</si>
  <si>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</si>
  <si>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</si>
  <si>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</si>
  <si>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</si>
  <si>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</si>
  <si>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</si>
  <si>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</si>
  <si>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</si>
  <si>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</si>
  <si>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</si>
  <si>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</si>
  <si>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</si>
  <si>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</si>
  <si>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</si>
  <si>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</si>
  <si>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</si>
  <si>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</si>
  <si>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</si>
  <si>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</si>
  <si>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</si>
  <si>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</si>
  <si>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</si>
  <si>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</si>
  <si>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</si>
  <si>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</si>
  <si>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</si>
  <si>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</si>
  <si>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</si>
  <si>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</si>
  <si>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</si>
  <si>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</si>
  <si>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</si>
  <si>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</si>
  <si>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</si>
  <si>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</si>
  <si>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</si>
  <si>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</si>
  <si>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</si>
  <si>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</si>
  <si>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</si>
  <si>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</si>
  <si>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</si>
  <si>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</si>
  <si>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</si>
  <si>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</si>
  <si>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</si>
  <si>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</si>
  <si>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</si>
  <si>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</si>
  <si>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</si>
  <si>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</si>
  <si>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</si>
  <si>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</si>
  <si>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WLD</t>
  </si>
  <si>
    <t>Data from database: Population estimates and projections</t>
  </si>
  <si>
    <t>Last Updated: 02/17/2022</t>
  </si>
  <si>
    <t>YouTube</t>
  </si>
  <si>
    <t>Description</t>
  </si>
  <si>
    <t>Low quality</t>
  </si>
  <si>
    <t>Standard quality</t>
  </si>
  <si>
    <t>Average</t>
  </si>
  <si>
    <t>kWh/GB</t>
  </si>
  <si>
    <t>Smartphone</t>
  </si>
  <si>
    <t>Laptop</t>
  </si>
  <si>
    <t>Tablet</t>
  </si>
  <si>
    <t>Units</t>
  </si>
  <si>
    <t>Video streaming</t>
  </si>
  <si>
    <t>High quality</t>
  </si>
  <si>
    <t>Average for Europe is 1.62 GB/h (https://ispspeedindex.netflix.net/global/)</t>
  </si>
  <si>
    <t xml:space="preserve">https://help.netflix.com/en/node/87 </t>
  </si>
  <si>
    <t xml:space="preserve">https://www.makeuseof.com/tag/how-much-data-does-streaming-video-use/ </t>
  </si>
  <si>
    <t>Amazon Prime</t>
  </si>
  <si>
    <t>Low quality: 360p; Standard quality: 480p; standard high quality: 720p; high quality: 1080p. Using average data. Going from kbps to Mbps, then to MB (1 byte = 8 bits)</t>
  </si>
  <si>
    <t xml:space="preserve">https://help.hulu.com/s/article/video-quality </t>
  </si>
  <si>
    <t>Vimeo</t>
  </si>
  <si>
    <t xml:space="preserve">https://vimeo.zendesk.com/hc/en-us/articles/224820827-Determining-playback-resolution#h_01FZGYMJZM6QW6MC6PA03T9XMQ </t>
  </si>
  <si>
    <t>Low quality: 360p; Standard quality: 540p; standard high quality: 720p; high quality: 1080p. Using maximum video bitrate (only this information is available)</t>
  </si>
  <si>
    <t>Browsing Instagram feed for an hour on smartphone</t>
  </si>
  <si>
    <t>Tik Tok</t>
  </si>
  <si>
    <t xml:space="preserve">https://www.hootsuite.com/pages/digital-trends-2021 </t>
  </si>
  <si>
    <t>Twitch</t>
  </si>
  <si>
    <t>Default settings</t>
  </si>
  <si>
    <t>Region</t>
  </si>
  <si>
    <t>Central America</t>
  </si>
  <si>
    <t>Caribbean</t>
  </si>
  <si>
    <t>Southern America</t>
  </si>
  <si>
    <t>Western Europe</t>
  </si>
  <si>
    <t>Northern Europe</t>
  </si>
  <si>
    <t>Eastern Europe</t>
  </si>
  <si>
    <t>Northern Africa</t>
  </si>
  <si>
    <t>Western Africa</t>
  </si>
  <si>
    <t>Middle Africa</t>
  </si>
  <si>
    <t>Eastern Africa</t>
  </si>
  <si>
    <t>Southern Africa</t>
  </si>
  <si>
    <t>Western Asia</t>
  </si>
  <si>
    <t>Southern Asia</t>
  </si>
  <si>
    <t>Central Asia</t>
  </si>
  <si>
    <t>Oceania</t>
  </si>
  <si>
    <t>Disney+</t>
  </si>
  <si>
    <t xml:space="preserve">https://help.disneyplus.com/csp?id=csp_article_content&amp;sys_kb_id=70013447db3fb018db5ed404ca961906 </t>
  </si>
  <si>
    <t>Three qualities: standard (save data), moderate, and 4k</t>
  </si>
  <si>
    <t>Web surfing</t>
  </si>
  <si>
    <t>Online gaming</t>
  </si>
  <si>
    <t>Average game</t>
  </si>
  <si>
    <t xml:space="preserve">https://fossbytes.com/internet-data-used-online-gaming/ </t>
  </si>
  <si>
    <t>Music streaming</t>
  </si>
  <si>
    <t>Sound Cloud</t>
  </si>
  <si>
    <t>Apple Music</t>
  </si>
  <si>
    <t>Amazon Music</t>
  </si>
  <si>
    <t>YouTube Music</t>
  </si>
  <si>
    <t xml:space="preserve">https://help.twitch.tv/s/article/guide-to-broadcast-health-and-using-twitch-inspector?language=en_US#:~:text=Twitch%20specifies%20a%20maximum%20bitrate,cannot%20handle%20higher%20bitrate%20video. </t>
  </si>
  <si>
    <t>Min</t>
  </si>
  <si>
    <t>Max</t>
  </si>
  <si>
    <t>Small game</t>
  </si>
  <si>
    <t>Big game</t>
  </si>
  <si>
    <t>Very high quality</t>
  </si>
  <si>
    <t xml:space="preserve">https://support.spotify.com/us/article/audio-quality/ </t>
  </si>
  <si>
    <t>https://smarthomestarter.com/how-much-data-does-youtube-music-really-use/</t>
  </si>
  <si>
    <t>Based on Spotify Premium</t>
  </si>
  <si>
    <t xml:space="preserve">https://www.gearpatrol.com/tech/audio/a615544/increase-music-sound-quality-apple-music-spotify/#:~:text=Apple%20Music%20streams%20at%20a,is%20connected%20to%20Wi%2DFi. </t>
  </si>
  <si>
    <t xml:space="preserve">https://apps.voxmedia.com/graphics/theverge-music-streaming-comparison-table/ </t>
  </si>
  <si>
    <t xml:space="preserve">https://help.soundcloud.com/hc/en-us/articles/360051838074-High-Quality-streaming#:~:text=What%20is%20the%20quality%20of,an%20mp3%20encoded%20in%20320kbps). </t>
  </si>
  <si>
    <t xml:space="preserve">https://www.amaysim.com.au/blog/stuff-made-simple/internet-data-usage-guide </t>
  </si>
  <si>
    <t>Average user: browsing through news and viewing photos; moderate activity: viewing videos (depends on the quality)</t>
  </si>
  <si>
    <t>Video conferencing</t>
  </si>
  <si>
    <t>Average between 1:1 and group calling</t>
  </si>
  <si>
    <t>https://support.zoom.us/hc/en-us/articles/201362023-System-requirements-for-Windows-macOS-and-Linux</t>
  </si>
  <si>
    <t>Microsoft Teams</t>
  </si>
  <si>
    <t>Audio only</t>
  </si>
  <si>
    <t xml:space="preserve">https://docs.microsoft.com/en-us/microsoftteams/prepare-network#:~:text=Teams%20is%20always%20conservative%20on,and%20video%20frames%20per%20second. </t>
  </si>
  <si>
    <t xml:space="preserve">https://support.skype.com/en/faq/FA1417/how-much-bandwidth-does-skype-need </t>
  </si>
  <si>
    <t xml:space="preserve">https://www.canstarblue.com.au/apps/twitter-data-usage/ </t>
  </si>
  <si>
    <t>1 hour continuous scrolling session</t>
  </si>
  <si>
    <t>% pop.</t>
  </si>
  <si>
    <t>Internet users vs total population by region</t>
  </si>
  <si>
    <t>pag. 26; data for year 2020</t>
  </si>
  <si>
    <t>Northern America</t>
  </si>
  <si>
    <t>Internet users</t>
  </si>
  <si>
    <t>Southern Europe</t>
  </si>
  <si>
    <t>Eastern Asia</t>
  </si>
  <si>
    <t>South-Eastern Asia</t>
  </si>
  <si>
    <t>Population</t>
  </si>
  <si>
    <t>total</t>
  </si>
  <si>
    <t>Unconnected users</t>
  </si>
  <si>
    <t>Aggregation</t>
  </si>
  <si>
    <t>Setting</t>
  </si>
  <si>
    <t>Bitrates</t>
  </si>
  <si>
    <t>GB/hour</t>
  </si>
  <si>
    <t>Data source</t>
  </si>
  <si>
    <t>Assumptions</t>
  </si>
  <si>
    <t>https://www.wirefly.com/guides/how-much-data-does-facebook-app-use</t>
  </si>
  <si>
    <t>Sources:</t>
  </si>
  <si>
    <t>[1]</t>
  </si>
  <si>
    <t>[2]</t>
  </si>
  <si>
    <t>https://whatsabyte.com/internet/data-tik-tok-use-per-hour/#:~:text=Under%20default%20settings%2C%20Tik%20Tok,to%20360MB%20in%20an%20hour.</t>
  </si>
  <si>
    <t>[3]</t>
  </si>
  <si>
    <t>[7]</t>
  </si>
  <si>
    <t>[4]</t>
  </si>
  <si>
    <t>https://support.google.com/youtube/answer/2853702?hl=en#zippy=</t>
  </si>
  <si>
    <t>[5]</t>
  </si>
  <si>
    <t>[6]</t>
  </si>
  <si>
    <t>[8]</t>
  </si>
  <si>
    <t>[9]</t>
  </si>
  <si>
    <t>[10]</t>
  </si>
  <si>
    <t>[11]</t>
  </si>
  <si>
    <t>[12]</t>
  </si>
  <si>
    <t>[13]</t>
  </si>
  <si>
    <t>[14]</t>
  </si>
  <si>
    <t>[15]</t>
  </si>
  <si>
    <t>[16]</t>
  </si>
  <si>
    <t>[17]</t>
  </si>
  <si>
    <t>[18]</t>
  </si>
  <si>
    <t>NA</t>
  </si>
  <si>
    <t>[19]</t>
  </si>
  <si>
    <t>[20]</t>
  </si>
  <si>
    <t>720p</t>
  </si>
  <si>
    <t xml:space="preserve">https://ecocostsavings.com/tv-wattage/#:~:text=Modern%20TVs%20use%2C%20on%20average,to%20run%20in%20the%20US. </t>
  </si>
  <si>
    <t>2160p</t>
  </si>
  <si>
    <t>Number of hours dedicated per year to each activity (hours/year)</t>
  </si>
  <si>
    <t>End user devices</t>
  </si>
  <si>
    <t>Data center</t>
  </si>
  <si>
    <t>Customer premise equipment</t>
  </si>
  <si>
    <t>unit_category</t>
  </si>
  <si>
    <t>sub-system</t>
  </si>
  <si>
    <t>units</t>
  </si>
  <si>
    <t>data_source</t>
  </si>
  <si>
    <t>Electricity_Intensity</t>
  </si>
  <si>
    <t>TV model</t>
  </si>
  <si>
    <t>Size (inches)</t>
  </si>
  <si>
    <t>Technology type</t>
  </si>
  <si>
    <t>Resolution</t>
  </si>
  <si>
    <t>Energy Star certified?</t>
  </si>
  <si>
    <t>Annual consumption</t>
  </si>
  <si>
    <t>Wattage (On mode)</t>
  </si>
  <si>
    <t>Standby wattage</t>
  </si>
  <si>
    <t>VIZIO – E75-F1</t>
  </si>
  <si>
    <t>Direct-lit LED</t>
  </si>
  <si>
    <t>Yes</t>
  </si>
  <si>
    <t>165.7 kWh</t>
  </si>
  <si>
    <t>0.5W</t>
  </si>
  <si>
    <t>VIZIO – D24hn-G9</t>
  </si>
  <si>
    <t>Edge-lit LED</t>
  </si>
  <si>
    <t>35.6 kWh</t>
  </si>
  <si>
    <t>MI – L32M5-5ARU</t>
  </si>
  <si>
    <t>29 kWh</t>
  </si>
  <si>
    <t>SCEPTRE – E32</t>
  </si>
  <si>
    <t>1080p</t>
  </si>
  <si>
    <t>42.3 kWh</t>
  </si>
  <si>
    <t>PHILIPS – 75BFL2114/27</t>
  </si>
  <si>
    <t>212 kWh</t>
  </si>
  <si>
    <t>Sansui – LE-24P28</t>
  </si>
  <si>
    <t>34.5 kWh</t>
  </si>
  <si>
    <t>3W</t>
  </si>
  <si>
    <t>SCEPTRE – H50</t>
  </si>
  <si>
    <t>88.8 kWh</t>
  </si>
  <si>
    <t>NEC – E657Q</t>
  </si>
  <si>
    <t>141.1 kWh</t>
  </si>
  <si>
    <t>Sansui – LE-5018N</t>
  </si>
  <si>
    <t>103.7 kWh</t>
  </si>
  <si>
    <t>NEC – E658</t>
  </si>
  <si>
    <t>Other</t>
  </si>
  <si>
    <t>153.5 kWh</t>
  </si>
  <si>
    <t>NEC – E328</t>
  </si>
  <si>
    <t>43 kWh</t>
  </si>
  <si>
    <t>Sansui – ES75E1UA</t>
  </si>
  <si>
    <t>206 kWh</t>
  </si>
  <si>
    <t>125 kWh</t>
  </si>
  <si>
    <t>Sansui – S24P28N</t>
  </si>
  <si>
    <t>40 kWh</t>
  </si>
  <si>
    <t>FURRION – FDUS50M7A</t>
  </si>
  <si>
    <t>127.6 kWh</t>
  </si>
  <si>
    <t>Supersonic – SC-2411</t>
  </si>
  <si>
    <t>38.1 kWh</t>
  </si>
  <si>
    <t>VIZIO – E65-F0</t>
  </si>
  <si>
    <t>186 kWh</t>
  </si>
  <si>
    <t>Caixun – EC43S1N</t>
  </si>
  <si>
    <t>66 kWh</t>
  </si>
  <si>
    <t>SCEPTRE – E18</t>
  </si>
  <si>
    <t>19.6 kWh</t>
  </si>
  <si>
    <t>Caixun – LE-58N3</t>
  </si>
  <si>
    <t>156.2 kWh</t>
  </si>
  <si>
    <t>Sansui – S43P28FN</t>
  </si>
  <si>
    <t>Sansui – S24P28</t>
  </si>
  <si>
    <t>Sansui – SF4019N18</t>
  </si>
  <si>
    <t>58.8 kWh</t>
  </si>
  <si>
    <t>NEC – E507Q</t>
  </si>
  <si>
    <t>138.1 kWh</t>
  </si>
  <si>
    <t>PHILIPS – 50BFL2114/27</t>
  </si>
  <si>
    <t>138 kWh</t>
  </si>
  <si>
    <t>SCEPTRE – D32</t>
  </si>
  <si>
    <t>48.2 kWh</t>
  </si>
  <si>
    <t>Sansui – LE-75E1</t>
  </si>
  <si>
    <t>IMPECCA – TL2400H</t>
  </si>
  <si>
    <t>RCA, PROSCAN, SYLVANIA – RTA3201</t>
  </si>
  <si>
    <t>48.3 kWh</t>
  </si>
  <si>
    <t>MI – L55M5-5ARU</t>
  </si>
  <si>
    <t>92 kWh</t>
  </si>
  <si>
    <t>PHILIPS – 50HFL6114U/27</t>
  </si>
  <si>
    <t>139 kWh</t>
  </si>
  <si>
    <t>SCEPTRE – H43</t>
  </si>
  <si>
    <t>64.6 kWh</t>
  </si>
  <si>
    <t>RCA – RLED1945A-E</t>
  </si>
  <si>
    <t>33 kWh</t>
  </si>
  <si>
    <t>PHILIPS – 65BFL2114/27</t>
  </si>
  <si>
    <t>195 kWh</t>
  </si>
  <si>
    <t>Caixun – EC50S1UA</t>
  </si>
  <si>
    <t>136 kWh</t>
  </si>
  <si>
    <t>Sansui – LE-50F2</t>
  </si>
  <si>
    <t>Sansui – S32P28N</t>
  </si>
  <si>
    <t>51 kWh</t>
  </si>
  <si>
    <t>RCA, PROSCAN, SYLVANIA – RTA4302</t>
  </si>
  <si>
    <t>Caixun – LE-24N3</t>
  </si>
  <si>
    <t>185 kWh</t>
  </si>
  <si>
    <t>PHILIPS – 70BFL2114/27</t>
  </si>
  <si>
    <t>205 kWh</t>
  </si>
  <si>
    <t>SCEPTRE – X435BV-FSRD</t>
  </si>
  <si>
    <t>67.3 kWh</t>
  </si>
  <si>
    <t>Sansui – S75P28UA</t>
  </si>
  <si>
    <t>NEC – E558</t>
  </si>
  <si>
    <t>118 kWh</t>
  </si>
  <si>
    <t>Caixun – EC32S2N</t>
  </si>
  <si>
    <t>Sansui – LE-75N3</t>
  </si>
  <si>
    <t>Sansui – LE-2419D</t>
  </si>
  <si>
    <t>38.9 kWh</t>
  </si>
  <si>
    <t>Caixun – EC50F3UA</t>
  </si>
  <si>
    <t>PHILIPS – 65HFL6114U/27</t>
  </si>
  <si>
    <t>189 kWh</t>
  </si>
  <si>
    <t>Caixun – LE-65N3</t>
  </si>
  <si>
    <t>101 kWh</t>
  </si>
  <si>
    <t>Caixun – EC50P28UA</t>
  </si>
  <si>
    <t>Sansui – ES75P28UA</t>
  </si>
  <si>
    <t>XITRIX – XPN-DS5530</t>
  </si>
  <si>
    <t>149.5 kWh</t>
  </si>
  <si>
    <t>IMPECCA – TL4000F</t>
  </si>
  <si>
    <t>Caixun – EC75P28UA</t>
  </si>
  <si>
    <t>SCEPTRE – E19</t>
  </si>
  <si>
    <t>34.9 kWh</t>
  </si>
  <si>
    <t>RCA;PROSCAN;Sylvania – 55F9</t>
  </si>
  <si>
    <t>149.7 kWh</t>
  </si>
  <si>
    <t>Caixun – EC50S2UA</t>
  </si>
  <si>
    <t>Caixun – EC75N3UA</t>
  </si>
  <si>
    <t>51.6 kWh</t>
  </si>
  <si>
    <t>FURRION – FDHS32M4A</t>
  </si>
  <si>
    <t>51.8 kWh</t>
  </si>
  <si>
    <t>70.7 kWh</t>
  </si>
  <si>
    <t>Sansui – ES75N3UA</t>
  </si>
  <si>
    <t>XITRIX – XPN-DS3230</t>
  </si>
  <si>
    <t>52.7 kWh</t>
  </si>
  <si>
    <t>Clear Tunes – CT-1514S</t>
  </si>
  <si>
    <t>NEC – E327</t>
  </si>
  <si>
    <t>56.4 kWh</t>
  </si>
  <si>
    <t>PHILIPS – 58BFL2114/27</t>
  </si>
  <si>
    <t>146 kWh</t>
  </si>
  <si>
    <t>Caixun – EC50N1UA</t>
  </si>
  <si>
    <t>Sansui – S40P28FN</t>
  </si>
  <si>
    <t>64 kWh</t>
  </si>
  <si>
    <t>SCEPTRE – E24</t>
  </si>
  <si>
    <t>41.4 kWh</t>
  </si>
  <si>
    <t>SCEPTRE – H32</t>
  </si>
  <si>
    <t>SCEPTRE – A43</t>
  </si>
  <si>
    <t>72.7 kWh</t>
  </si>
  <si>
    <t>Sansui – LE-65N3</t>
  </si>
  <si>
    <t>Caixun – EC50N3UA</t>
  </si>
  <si>
    <t>Caixun – EC50S1A</t>
  </si>
  <si>
    <t>Sansui – LE-2219D</t>
  </si>
  <si>
    <t>Caixun – LE-50F2</t>
  </si>
  <si>
    <t>NEC – E438</t>
  </si>
  <si>
    <t>88.6 kWh</t>
  </si>
  <si>
    <t>VIZIO – D32f-F1</t>
  </si>
  <si>
    <t>56.2 kWh</t>
  </si>
  <si>
    <t>Caixun – EC50F2UA</t>
  </si>
  <si>
    <t>NEC – E498</t>
  </si>
  <si>
    <t>123.8 kWh</t>
  </si>
  <si>
    <t>SCEPTRE – H40</t>
  </si>
  <si>
    <t>63.4 kWh</t>
  </si>
  <si>
    <t>54.6 kWh</t>
  </si>
  <si>
    <t>FURRION – FDFS40M4A</t>
  </si>
  <si>
    <t>PHILIPS – 43HFL6114U/27</t>
  </si>
  <si>
    <t>112 kWh</t>
  </si>
  <si>
    <t>NEC – E557Q</t>
  </si>
  <si>
    <t>156.6 kWh</t>
  </si>
  <si>
    <t>SCEPTRE – X400BV-FSRCC</t>
  </si>
  <si>
    <t>67 kWh</t>
  </si>
  <si>
    <t>Sansui – LE-58N3</t>
  </si>
  <si>
    <t>Polaroid – 65T7U</t>
  </si>
  <si>
    <t>189.6 kWh</t>
  </si>
  <si>
    <t>IMPECCA – TL3201H</t>
  </si>
  <si>
    <t>54.3 kWh</t>
  </si>
  <si>
    <t>Sansui – LE-55F3</t>
  </si>
  <si>
    <t>151 kWh</t>
  </si>
  <si>
    <t>Caixun – EC75E1A</t>
  </si>
  <si>
    <t>IMPECCA – TL3901H</t>
  </si>
  <si>
    <t>63.6 kWh</t>
  </si>
  <si>
    <t>NEC – E437Q</t>
  </si>
  <si>
    <t>116.6 kWh</t>
  </si>
  <si>
    <t>Caixun – LE-43N3</t>
  </si>
  <si>
    <t>Sansui – LE-43N3</t>
  </si>
  <si>
    <t>Sansui – S75E1UA</t>
  </si>
  <si>
    <t>65.4 kWh</t>
  </si>
  <si>
    <t>RCA – RT1971-AC</t>
  </si>
  <si>
    <t>28.8 kWh</t>
  </si>
  <si>
    <t>Caixun – LE-75N3</t>
  </si>
  <si>
    <t>Caixun – LE-55F3</t>
  </si>
  <si>
    <t>PROSCAN – PLED1960A-H</t>
  </si>
  <si>
    <t>PHILIPS – 55HFL6114U/27</t>
  </si>
  <si>
    <t>159 kWh</t>
  </si>
  <si>
    <t>45.5 kWh</t>
  </si>
  <si>
    <t>70.5 kWh</t>
  </si>
  <si>
    <t>TV Wattage – 2022’S Most Efficient TVs Revealed [With Data]</t>
  </si>
  <si>
    <t>TV 720p</t>
  </si>
  <si>
    <t>TV 1080p</t>
  </si>
  <si>
    <t>component</t>
  </si>
  <si>
    <t>activity</t>
  </si>
  <si>
    <t>setting</t>
  </si>
  <si>
    <t>Desktop PC</t>
  </si>
  <si>
    <r>
      <t>Electricity intensity of sub-systems expressed as amount of electricity per unit of time (kWh/hr) or data (kWh/GB), depending on the case. According to Billstein et al (2021): ''No standardized way of measuring the electricity intensity. Three different measurement units commonly occur in studies:</t>
    </r>
    <r>
      <rPr>
        <b/>
        <sz val="11"/>
        <color theme="1"/>
        <rFont val="Calibri"/>
        <family val="2"/>
        <scheme val="minor"/>
      </rPr>
      <t xml:space="preserve"> energy per data, energy per time, and energy per subscriber</t>
    </r>
    <r>
      <rPr>
        <sz val="11"/>
        <color theme="1"/>
        <rFont val="Calibri"/>
        <family val="2"/>
        <scheme val="minor"/>
      </rPr>
      <t xml:space="preserve"> [...] The </t>
    </r>
    <r>
      <rPr>
        <b/>
        <sz val="11"/>
        <color theme="1"/>
        <rFont val="Calibri"/>
        <family val="2"/>
        <scheme val="minor"/>
      </rPr>
      <t>choice of metrics should depend on the type of subsystem in question</t>
    </r>
    <r>
      <rPr>
        <sz val="11"/>
        <color theme="1"/>
        <rFont val="Calibri"/>
        <family val="2"/>
        <scheme val="minor"/>
      </rPr>
      <t>, i.e., if a device were to use</t>
    </r>
    <r>
      <rPr>
        <b/>
        <sz val="11"/>
        <color theme="1"/>
        <rFont val="Calibri"/>
        <family val="2"/>
        <scheme val="minor"/>
      </rPr>
      <t xml:space="preserve"> the same amount of electricity regardless of the load, it should be measured based on time</t>
    </r>
    <r>
      <rPr>
        <sz val="11"/>
        <color theme="1"/>
        <rFont val="Calibri"/>
        <family val="2"/>
        <scheme val="minor"/>
      </rPr>
      <t xml:space="preserve">. If the </t>
    </r>
    <r>
      <rPr>
        <b/>
        <sz val="11"/>
        <color theme="1"/>
        <rFont val="Calibri"/>
        <family val="2"/>
        <scheme val="minor"/>
      </rPr>
      <t>energy consumption instead were to be proportional to the load, the device should be calculated per data volume</t>
    </r>
    <r>
      <rPr>
        <sz val="11"/>
        <color theme="1"/>
        <rFont val="Calibri"/>
        <family val="2"/>
        <scheme val="minor"/>
      </rPr>
      <t xml:space="preserve"> [...] the </t>
    </r>
    <r>
      <rPr>
        <b/>
        <sz val="11"/>
        <color theme="1"/>
        <rFont val="Calibri"/>
        <family val="2"/>
        <scheme val="minor"/>
      </rPr>
      <t>IP core network should be modelled using the unit energy per data, whilst the access network, customer premise equipment, and end-user devices fall under the category of energy per time</t>
    </r>
    <r>
      <rPr>
        <sz val="11"/>
        <color theme="1"/>
        <rFont val="Calibri"/>
        <family val="2"/>
        <scheme val="minor"/>
      </rPr>
      <t>''</t>
    </r>
  </si>
  <si>
    <t>Activity_Device_Match</t>
  </si>
  <si>
    <t>energy per data</t>
  </si>
  <si>
    <t>Data transmission</t>
  </si>
  <si>
    <t>US</t>
  </si>
  <si>
    <t>CN</t>
  </si>
  <si>
    <t>480p</t>
  </si>
  <si>
    <t>Low_Tech</t>
  </si>
  <si>
    <t>Medium_Tech</t>
  </si>
  <si>
    <t>High_Tech</t>
  </si>
  <si>
    <t>IN</t>
  </si>
  <si>
    <t>RER</t>
  </si>
  <si>
    <t>RLA</t>
  </si>
  <si>
    <t>RAF</t>
  </si>
  <si>
    <t>[21]</t>
  </si>
  <si>
    <t>Average value used in a case study</t>
  </si>
  <si>
    <t>Suski et al. (2020). All you can stream: Investigating the role of user behavior for greenhouse gas intensity of video streaming. 7th International Conference on ICT for Sustainability (ICT4S).  https://doi.org/10.48550/arXiv.2006.11129</t>
  </si>
  <si>
    <t>Data_Traffic</t>
  </si>
  <si>
    <t>kWh</t>
  </si>
  <si>
    <t>Core network</t>
  </si>
  <si>
    <t>Access network</t>
  </si>
  <si>
    <t>https://schools.saisd.net/upload/page/11211/docs/Data%20Usage.pdf</t>
  </si>
  <si>
    <t>[22]</t>
  </si>
  <si>
    <t>[19] [22]</t>
  </si>
  <si>
    <t>region</t>
  </si>
  <si>
    <t>connected_users</t>
  </si>
  <si>
    <t>unconnected_users</t>
  </si>
  <si>
    <t>RNA</t>
  </si>
  <si>
    <t>CA</t>
  </si>
  <si>
    <t>RME</t>
  </si>
  <si>
    <t>RAS</t>
  </si>
  <si>
    <t>AU</t>
  </si>
  <si>
    <t>Digital 2022: China — DataReportal – Global Digital Insights</t>
  </si>
  <si>
    <t>Year 2022</t>
  </si>
  <si>
    <t>Digital 2022: India — DataReportal – Global Digital Insights</t>
  </si>
  <si>
    <t>Digital 2022: Australia — DataReportal – Global Digital Insights</t>
  </si>
  <si>
    <t>population</t>
  </si>
  <si>
    <t>internet_adoption</t>
  </si>
  <si>
    <t>Digital 2022: The United States of America — DataReportal – Global Digital Insights</t>
  </si>
  <si>
    <t>Digital 2022: Canada — DataReportal – Global Digital Insights</t>
  </si>
  <si>
    <t>Data for year 2020. Assumed as the sum of Wester, Central, Northern, and Eastern Europe</t>
  </si>
  <si>
    <t>Data for year 2020. Assumed as the sum of Central America, Caribbean, and Southern America</t>
  </si>
  <si>
    <t>Data for year 2020. Assumed as the sum of Northern, Western, Middle, Western, Eastern, and Southern Africa</t>
  </si>
  <si>
    <t>Data for year 2020. Assumed as Western Asia</t>
  </si>
  <si>
    <t>data_traffic_dataset!A1</t>
  </si>
  <si>
    <t>Binary parameter with value of 1 if activity-setting pair works for the device and 0 otherwise</t>
  </si>
  <si>
    <t>User_Time</t>
  </si>
  <si>
    <t>assumptions</t>
  </si>
  <si>
    <t>User_Tech_Choice</t>
  </si>
  <si>
    <t>% of annual hours in which each device and setting is used for each activity</t>
  </si>
  <si>
    <t>Internet_Users</t>
  </si>
  <si>
    <t>JP</t>
  </si>
  <si>
    <t>KR</t>
  </si>
  <si>
    <t>internet_users_data!A1</t>
  </si>
  <si>
    <t>Digital 2022: Japan — DataReportal – Global Digital Insights</t>
  </si>
  <si>
    <t>Digital 2022: South Korea — DataReportal – Global Digital Insights</t>
  </si>
  <si>
    <t>Total</t>
  </si>
  <si>
    <t>Country</t>
  </si>
  <si>
    <t>electricity_price (EUR/kWh)</t>
  </si>
  <si>
    <t>external_costs (EUR/kg CO2 eq)</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</si>
  <si>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</si>
  <si>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</si>
  <si>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</si>
  <si>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</si>
  <si>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</si>
  <si>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</si>
  <si>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</si>
  <si>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</si>
  <si>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</si>
  <si>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</si>
  <si>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</si>
  <si>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</si>
  <si>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</si>
  <si>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</si>
  <si>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</si>
  <si>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</si>
  <si>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</si>
  <si>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</si>
  <si>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</si>
  <si>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</si>
  <si>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</si>
  <si>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</si>
  <si>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</si>
  <si>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</si>
  <si>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</si>
  <si>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</si>
  <si>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</si>
  <si>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</si>
  <si>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</si>
  <si>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</si>
  <si>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</si>
  <si>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</si>
  <si>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</si>
  <si>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Turkey</t>
  </si>
  <si>
    <t>Bosnia and Herzegovina</t>
  </si>
  <si>
    <t>Moldova</t>
  </si>
  <si>
    <t>Ukraine</t>
  </si>
  <si>
    <t>Georgia</t>
  </si>
  <si>
    <r>
      <rPr>
        <sz val="11"/>
        <rFont val="Calibri"/>
        <family val="2"/>
        <scheme val="minor"/>
      </rPr>
      <t>Electricity prices from Eurostat:</t>
    </r>
    <r>
      <rPr>
        <u/>
        <sz val="11"/>
        <color theme="10"/>
        <rFont val="Calibri"/>
        <family val="2"/>
        <scheme val="minor"/>
      </rPr>
      <t xml:space="preserve"> https://ec.europa.eu/eurostat/databrowser/view/nrg_pc_204/default/table?lang=en</t>
    </r>
  </si>
  <si>
    <t>Germany</t>
  </si>
  <si>
    <t>ISO_code</t>
  </si>
  <si>
    <t>BE</t>
  </si>
  <si>
    <t>BG</t>
  </si>
  <si>
    <t>CZ</t>
  </si>
  <si>
    <t>DK</t>
  </si>
  <si>
    <t>DE</t>
  </si>
  <si>
    <t>EE</t>
  </si>
  <si>
    <t>IE</t>
  </si>
  <si>
    <t>GR</t>
  </si>
  <si>
    <t>ES</t>
  </si>
  <si>
    <t>FR</t>
  </si>
  <si>
    <t>HR</t>
  </si>
  <si>
    <t>IT</t>
  </si>
  <si>
    <t>CY</t>
  </si>
  <si>
    <t>LV</t>
  </si>
  <si>
    <t>LT</t>
  </si>
  <si>
    <t>LU</t>
  </si>
  <si>
    <t>HU</t>
  </si>
  <si>
    <t>MT</t>
  </si>
  <si>
    <t>NL</t>
  </si>
  <si>
    <t>PL</t>
  </si>
  <si>
    <t>PT</t>
  </si>
  <si>
    <t>RO</t>
  </si>
  <si>
    <t>SI</t>
  </si>
  <si>
    <t>SK</t>
  </si>
  <si>
    <t>SE</t>
  </si>
  <si>
    <t>IS</t>
  </si>
  <si>
    <t>NO</t>
  </si>
  <si>
    <t>ME</t>
  </si>
  <si>
    <t>MK</t>
  </si>
  <si>
    <t>AL</t>
  </si>
  <si>
    <t>RS</t>
  </si>
  <si>
    <t>TR</t>
  </si>
  <si>
    <t>BA</t>
  </si>
  <si>
    <t>MD</t>
  </si>
  <si>
    <t>UA</t>
  </si>
  <si>
    <t>GE</t>
  </si>
  <si>
    <t>FI</t>
  </si>
  <si>
    <t>GB</t>
  </si>
  <si>
    <t>Electricity prices for household consumers in the EU-27 in 2020 (average of bi-annual data). All taxes and levis included</t>
  </si>
  <si>
    <t>Clément et al. (2020). Sources of variation in life cycle assessments of smartphones and tablet computers. Environmental Impact Assessment Review 84 (2020) 106416</t>
  </si>
  <si>
    <t>Urban et al. (2014). Energy consumption of consumer electronics in the U.S. homes in 2013. Available at: https://www.ourenergypolicy.org/wp-content/uploads/2014/06/electronics.pdf</t>
  </si>
  <si>
    <r>
      <rPr>
        <sz val="11"/>
        <rFont val="Calibri"/>
        <family val="2"/>
        <scheme val="minor"/>
      </rPr>
      <t xml:space="preserve">Energy User Calculator (2022). Available at: </t>
    </r>
    <r>
      <rPr>
        <u/>
        <sz val="11"/>
        <color theme="10"/>
        <rFont val="Calibri"/>
        <family val="2"/>
        <scheme val="minor"/>
      </rPr>
      <t xml:space="preserve">https://energyusecalculator.com/electricity_cellphone.htm  </t>
    </r>
  </si>
  <si>
    <t>Urban et al. (2017). Energy Consumption of Consumer Electronics in. U.S. Homes in 2017. Available at: https://cdn.cta.tech/cta/media/media/advocacy/pdfs/energy-consumption-of-consumer-electronics-in-u-s-homes-in-2017-(fraunhofer-usa,-commissioned-by-cta,-december-2017).pdf</t>
  </si>
  <si>
    <t>Coroama et al. (2015). The Energy Intensity of the Internet: Home and Access Networks</t>
  </si>
  <si>
    <t>List of data sources</t>
  </si>
  <si>
    <t>Masanet et al. (2020). Recalibrating global data center energy-use estimates. Science, 367 (6481), DOI: 10.1126/science.aba3758</t>
  </si>
  <si>
    <t>Cisco (2018). Cisco Global Cloud Index: Forecast and methodology,2016–2021 white paper(Cisco,document 1513879861264127, 2018)</t>
  </si>
  <si>
    <t>Obringer et al. (2021). The overlooked environmental footprint of increasing Internet use. Resources, Conservation &amp; Recycling 167 (2021) 105389</t>
  </si>
  <si>
    <t>Madlener et al. (2022). The electricity- and CO2-saving potentials offered by regulation of European video-streaming services. Energy Policy 161 (2022) 112716</t>
  </si>
  <si>
    <t>Andrae (2020). New perspectives on internet electricity use in 2030. Eng. Appl. Sci. Lett. 2020, 3(2), 19-31; doi:10.30538/psrp-easl2020.0038</t>
  </si>
  <si>
    <t>Wernet et al. (2016). The ecoinvent database version 3 (part I): overview and methodology. Int J Life Cycle Assess. DOI 10.1007/s11367-016-1087-8</t>
  </si>
  <si>
    <t>Lifewire (2021). How Often Should You Replace Your Modem? Available at: https://www.lifewire.com/how-often-should-you-replace-your-modem-5185604#:~:text=Lower%2Dend%20modems%20tend%20to,due%20to%20failure%20or%20obsolescence.</t>
  </si>
  <si>
    <t>Pärssinen et al. (2018). Environmental impact assessment of online advertising. Environmental Impact Assessment Review 73 (2018) 177–200</t>
  </si>
  <si>
    <t>Van Heddenghem et al. (2014). Trends in worldwide ICT electricity consumption from 2007 to 2012. Computer Communications 50 (2014) 64–76</t>
  </si>
  <si>
    <t>energy per active hour</t>
  </si>
  <si>
    <t>data_source_and_assumptions</t>
  </si>
  <si>
    <t>Malmodin and Lundén (2018). The Energy and Carbon Footprint of the Global ICT and E&amp;M Sectors 2010–2015. Sustainability 2018, 10, 3027; doi:10.3390/su10093027</t>
  </si>
  <si>
    <t>Central and Eastern Europe</t>
  </si>
  <si>
    <t>energy_use_2020 (TWh)</t>
  </si>
  <si>
    <t>energy_use_2020 (%)</t>
  </si>
  <si>
    <t>50% RME / 50% RAF</t>
  </si>
  <si>
    <t>energy_use_data (kWh/GB)</t>
  </si>
  <si>
    <t>Bakar Siddik et al. (2021). The environmental footprint of data centers in the United States. Environ. Res. Lett. 16 064017</t>
  </si>
  <si>
    <t>direct_water_use (kg/GB)</t>
  </si>
  <si>
    <t>wastewater (kg/GB)</t>
  </si>
  <si>
    <r>
      <t>Regional energy use by global data centers from Massanet et al. (2020). Direct water use was calculated assuming 0.0018 m</t>
    </r>
    <r>
      <rPr>
        <vertAlign val="superscript"/>
        <sz val="11"/>
        <color theme="1"/>
        <rFont val="Calibri"/>
        <family val="2"/>
        <scheme val="minor"/>
      </rPr>
      <t>3</t>
    </r>
    <r>
      <rPr>
        <sz val="11"/>
        <color theme="1"/>
        <rFont val="Calibri"/>
        <family val="2"/>
        <scheme val="minor"/>
      </rPr>
      <t xml:space="preserve"> water per kWh consumed by data centers based on data for the US in 2018 (Bakar Siddik et al., 2021). According to the same source, the volume of wastewater produced by data centers represent 1.4% of the volume of direct water consumption</t>
    </r>
  </si>
  <si>
    <t>No infrastructure considered</t>
  </si>
  <si>
    <t>360p</t>
  </si>
  <si>
    <t>4K</t>
  </si>
  <si>
    <t>Hiqh Quality streaming format is encoded in 256kbps AAC. (equivalent to an mp3 encoded in 320kbps).</t>
  </si>
  <si>
    <t>Very high quality; based on Spotify Premium</t>
  </si>
  <si>
    <t>Very high quality; not exactly like-for-like with Spotify because Apple Music uses its own AAC audio codec</t>
  </si>
  <si>
    <t>Standard high quality; average between 1:1 and group calling</t>
  </si>
  <si>
    <t>average</t>
  </si>
  <si>
    <t>lower_bound</t>
  </si>
  <si>
    <t>upper_bound</t>
  </si>
  <si>
    <t>TV 4K</t>
  </si>
  <si>
    <t>hours_per_day</t>
  </si>
  <si>
    <t>hours_per_year</t>
  </si>
  <si>
    <t>Hootsuite (2022). Digital 2022: Global Overview Report. Available at: https://datareportal.com/reports/digital-2022-global-overview-report</t>
  </si>
  <si>
    <t>Based on Hootsuite (2022) for the reference year 2022</t>
  </si>
  <si>
    <t>Duoplus (2021). Online Video Consumption Is Booming [2021 Statistics &amp; Infographic]. Available at: https://www.duoplus.nz/online-video-consumption-is-booming-statistics-infographic/</t>
  </si>
  <si>
    <t>Statista (2022a). Most popular weekly online activities for internet users in the United States as of January 2022, by time spent. Available at: https://www.statista.com/statistics/1292983/weekly-time-spent-us-users-online-activities/</t>
  </si>
  <si>
    <t>Dialpad (2022). The state of video conferencing 2022. Available at: https://www.dialpad.com/blog/video-conferencing-report/#time-spent-in-meetings</t>
  </si>
  <si>
    <t>Based on BroadbandSearch (2022) and Hootsuite (2022) for the reference year 2022. It should be noted that the average daily time spent on social media varies around the world, from 1h 15 min in Europe to 3h 24 min in South America (BroadbandSearch, 2022)</t>
  </si>
  <si>
    <t>According to the most recent statistics for year 2021, an average person spends 16 hours per week (2h 17 min per day on average) on video streaming (Duoplus, 2021). This value is similar to that reported by Statista (2022a) for the U.S., i.e. 18.9 hours per week</t>
  </si>
  <si>
    <t>A recent survey performed by Dialpad (2022) revelead that about 46% of the respondents spend less than 4 hours per week in video conferencing, while 37% spend between 4 and 12 hours per week. 4 hours per week (an average of 34 min per day) was assumed in this work as representative for an average person</t>
  </si>
  <si>
    <t>2 hours per day of web surfing were assumed. This value is equal to the daily time spend on reading press media by an average user in 2022</t>
  </si>
  <si>
    <t>web surfing, average</t>
  </si>
  <si>
    <t>social media, average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</si>
  <si>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</si>
  <si>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</si>
  <si>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</si>
  <si>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</si>
  <si>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</si>
  <si>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</si>
  <si>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</si>
  <si>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</si>
  <si>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</si>
  <si>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</si>
  <si>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smartphone</t>
  </si>
  <si>
    <t>tablet</t>
  </si>
  <si>
    <t>laptop</t>
  </si>
  <si>
    <t>desktop PC</t>
  </si>
  <si>
    <t>Statista (2022b). Device preference for internet browsing in the United Kingdom (UK) 2018. Available at: https://www.statista.com/statistics/308449/device-preference-for-internet-browsing-in-the-uk/</t>
  </si>
  <si>
    <t>Statista (2019). Devices used to watch online video worldwide as of August 2019. Available at: https://www.statista.com/statistics/784351/online-video-devices/</t>
  </si>
  <si>
    <t>Low_Tech user was assumed to have limited access to technology; only a smartphone and a laptop. Smartphone is used 100% of the time spent on web surfing, social media, and music streaming (low quality). Smartphone and laptop are both used 50% of the time spent on video streaming (low quality; 480p), while only laptop is used for video conferencing (only audio)</t>
  </si>
  <si>
    <t>Same assumption as for Medium_Tech. However, High_Tech was assumed to to use higher resolution for video streaming (100% 4K for smart TV and 100% 1080p for the other devices) and high quality for music streaming and video conferencing</t>
  </si>
  <si>
    <t>ecoinvent_location</t>
  </si>
  <si>
    <t>Coroama et al. (2013). The Direct Energy Demand of Internet Data Flows. Journal of Industrial Ecology 17 (5), 680-688</t>
  </si>
  <si>
    <t>core_network_node_energy_use (kWh/GB)</t>
  </si>
  <si>
    <t>Schien and Priest (2014). Approaches to Energy Intensity of the Internet. IEEE Communications Magazine 52 (11). DOI: 10.1109/MCOM.2014.6957153</t>
  </si>
  <si>
    <t>Koot and Wijnhoven (2021). Usage impact on data center electricity needs: A system dynamic forecasting model. Applied Energy 291 (2021) 116798</t>
  </si>
  <si>
    <t>lifetime (years)</t>
  </si>
  <si>
    <t>active mode lifetime (total hours)</t>
  </si>
  <si>
    <r>
      <rPr>
        <b/>
        <sz val="11"/>
        <color theme="1"/>
        <rFont val="Calibri"/>
        <family val="2"/>
        <scheme val="minor"/>
      </rPr>
      <t>Web surfing</t>
    </r>
    <r>
      <rPr>
        <sz val="11"/>
        <color theme="1"/>
        <rFont val="Calibri"/>
        <family val="2"/>
        <scheme val="minor"/>
      </rPr>
      <t xml:space="preserve"> was distributed between smartphone (50% of time), tablet (15%), laptop (25%), and desktop PC (10%) based on Statista data on device preference for internet browsing (Statista, 2022b). </t>
    </r>
    <r>
      <rPr>
        <b/>
        <sz val="11"/>
        <color theme="1"/>
        <rFont val="Calibri"/>
        <family val="2"/>
        <scheme val="minor"/>
      </rPr>
      <t>Social media</t>
    </r>
    <r>
      <rPr>
        <sz val="11"/>
        <color theme="1"/>
        <rFont val="Calibri"/>
        <family val="2"/>
        <scheme val="minor"/>
      </rPr>
      <t xml:space="preserve"> was assumed to be accessed mostly through smartphones (83% of time) with the remaining 17% equally distributed betwen tablet, laptop, and desktop PC (Broadband Search, 2022). </t>
    </r>
    <r>
      <rPr>
        <b/>
        <sz val="11"/>
        <color theme="1"/>
        <rFont val="Calibri"/>
        <family val="2"/>
        <scheme val="minor"/>
      </rPr>
      <t>Video streaming</t>
    </r>
    <r>
      <rPr>
        <sz val="11"/>
        <color theme="1"/>
        <rFont val="Calibri"/>
        <family val="2"/>
        <scheme val="minor"/>
      </rPr>
      <t xml:space="preserve"> was distributed between smartphone (31% of time), computer (28% divided into 50% laptop and 50% desktop PC), 25% smart TV, and 16% tablet based on Statista data for devices preference to watch online videos (Statista, 2019). The resolution of video streaming was distributed between 720p (50% of time) and 1080p (50%). </t>
    </r>
    <r>
      <rPr>
        <b/>
        <sz val="11"/>
        <color theme="1"/>
        <rFont val="Calibri"/>
        <family val="2"/>
        <scheme val="minor"/>
      </rPr>
      <t>Music streaming</t>
    </r>
    <r>
      <rPr>
        <sz val="11"/>
        <color theme="1"/>
        <rFont val="Calibri"/>
        <family val="2"/>
        <scheme val="minor"/>
      </rPr>
      <t xml:space="preserve"> (standard quality) was distributed between smartphone (59%) and tablet/laptop/desktop PC (41%; equal share) based on data from Statista (2021b). Video conferencing (standard quality) was equally distributed between laptop and desktop PC</t>
    </r>
  </si>
  <si>
    <t>Statista (2021b). Global device share of music listening time 2019. Available at: https://www.statista.com/statistics/1102356/music-device-usage-worldwide/</t>
  </si>
  <si>
    <t>Operating lifetime from Clément et al. (2020). Active hours per day is based on a survey prepared by Statista (2021a) for the U.S. in 2021.</t>
  </si>
  <si>
    <t>Statista (2022c). Time spent with TV worldwide 2011-2021. Available at: https://www.statista.com/statistics/730428/tv-time-spent-worldwide/#:~:text=Time%20spent%20with%20TV%20worldwide%202011%2D2021&amp;text=This%20statistic%20presents%20the%20daily,from%20170%20minutes%20in%202017.</t>
  </si>
  <si>
    <t>Operating lifetime consistent with the Ecoinvent v3.8 database (Warnet et al., 2016). According to Statista (2022c), the daily time spent watching TV in 2020 reached 166 minutes (2h 46 min). We used this value to define the average active mode per day, even though it is unclear if this number includes the time when televisions are used for video streaming (e.g., Netflix). Furthermore, we considered 2 and 3 hours to define the lower and upper bounds</t>
  </si>
  <si>
    <r>
      <t xml:space="preserve">Operating lifetime from Malmodin and Lundén (2018). Active hours per day from Urban et al. (2017) equivalent to 4 h </t>
    </r>
    <r>
      <rPr>
        <sz val="11"/>
        <color theme="1"/>
        <rFont val="Calibri"/>
        <family val="2"/>
      </rPr>
      <t>±36 min</t>
    </r>
  </si>
  <si>
    <t>Ruiz et al. (2022). Life cycle inventory and carbon footprint assessment of wireless ICT networks for six demographic areas. Resources, Conservation &amp; Recycling 176 (2022) 105951</t>
  </si>
  <si>
    <t>Operating lifetime from Ruiz et al. (2022). The costumer premise equipment is normally always on and ready to use since people in general do not turn off the modem/routers (Urban et al., 2017). Therefore, we considered 24 hours per day of active mode</t>
  </si>
  <si>
    <t>Infrastructure</t>
  </si>
  <si>
    <t>Billstein et al. (2021). Life Cycle Assessment of Network Traffic: A Review of Challenges and Possible Solutions. Sustainability 2021, 13, 11155.</t>
  </si>
  <si>
    <t>Rack</t>
  </si>
  <si>
    <r>
      <t xml:space="preserve">unit infrastructure per active hour over lifetime </t>
    </r>
    <r>
      <rPr>
        <sz val="11"/>
        <color theme="1"/>
        <rFont val="Calibri"/>
        <family val="2"/>
        <scheme val="minor"/>
      </rPr>
      <t>(note that lower_bound corresponds to the upper bound for active mode)</t>
    </r>
  </si>
  <si>
    <t>Servers</t>
  </si>
  <si>
    <t>unit/gigabyte</t>
  </si>
  <si>
    <t>global stock in data centers (2020)</t>
  </si>
  <si>
    <t>Data center IT equipment</t>
  </si>
  <si>
    <t>Fuchs et al. (2017). Characteristics and energy use of volume servers in the United States. Available at: https://escholarship.org/uc/item/8bb5j7ww</t>
  </si>
  <si>
    <t xml:space="preserve">Massanet et al. (2020) estimated a stock of 47.56 million servers installed in global data centers in 2020. The units of a server allocated to the transmission of 1 GB of data over the server's lifetime was calculated considering the server lifetime (Fuchs et al., 2017) and the global data centers outbound traffic in 2020 (4.74 ZB ; see 'Electricity_Intensity'). </t>
  </si>
  <si>
    <t>RackSolutions (2020). How many servers does a data center have? Available at: https://www.racksolutions.com/news/blog/how-many-servers-does-a-data-center-have/ (Accessed on 22/08/2022)</t>
  </si>
  <si>
    <t>BroadbandSearch (2022). Average Daily Time Spent on Social Media (Latest 2022 Data). Available at: https://www.broadbandsearch.net/blog/average-daily-time-on-social-media (Accessed 02/08/2022)</t>
  </si>
  <si>
    <t>BroadbandSearch (2022). Mobile Vs. Desktop Internet Usage (Latest 2022 Data). Available at: https://www.broadbandsearch.net/blog/mobile-desktop-internet-usage-statistics (Accessed 04/08/2022)</t>
  </si>
  <si>
    <t>kg/gigabyte</t>
  </si>
  <si>
    <t>To calculate the global stock of racks in data centers, we assumed 1U servers and 42U, meaning that each rack can hold 42 servers (RackSolutions, 2020). The same lifetime as for servers was assumed due to the lack of data. An average weight equal to 125 kg was assumed for a 42U rack (https://www.42u.com/apc-42u-rack.htm)</t>
  </si>
  <si>
    <r>
      <t xml:space="preserve">unit infrastructure per GB traffic over lifetime </t>
    </r>
    <r>
      <rPr>
        <sz val="11"/>
        <color theme="1"/>
        <rFont val="Calibri"/>
        <family val="2"/>
        <scheme val="minor"/>
      </rPr>
      <t>(note that lower_bound corresponds to the upper bound for lifetime)</t>
    </r>
  </si>
  <si>
    <t>End-user devices and transmission network equipment</t>
  </si>
  <si>
    <t>Storage</t>
  </si>
  <si>
    <t>Massanet et al. (2020) estimated a storage capacity of 1787 EB installed in global data centers in 2020. This capacity is distributed between solid state drives (31%) and hard disk drives (69%). However, since an inventory for solid state drive is not available in the Ecoinvent database, we considered 100% hard disk drives. The average storage capacity of hard disk drives in 2020 is 10 TB/drive (Massanet et al., 2020). The units of a storage drive allocated to the transmission of 1 GB of data over the drive's lifetime was calculated considering the drive lifetime and the global data centers outbound traffic in 2020 (4.74 ZB ; see 'Electricity_Intensity'). The same lifetime as for servers was assumed due to the lack of data</t>
  </si>
  <si>
    <t>end-user device</t>
  </si>
  <si>
    <t>TV</t>
  </si>
  <si>
    <t>Low_Tech user</t>
  </si>
  <si>
    <t>Medium_Tech user</t>
  </si>
  <si>
    <t>High_Tech user</t>
  </si>
  <si>
    <t>share</t>
  </si>
  <si>
    <t>Data centers</t>
  </si>
  <si>
    <t>50%_lifetime</t>
  </si>
  <si>
    <t>100%_lifetime</t>
  </si>
  <si>
    <t>End-user devices</t>
  </si>
  <si>
    <t>Internet access</t>
  </si>
  <si>
    <t>Unit of infrastructure in function of lifetime extension rate</t>
  </si>
  <si>
    <t>25%_lifetime</t>
  </si>
  <si>
    <t>Urban et al. (2014)</t>
  </si>
  <si>
    <t>Suski et al. (2020)</t>
  </si>
  <si>
    <t>Energy Use Calculator (2022)</t>
  </si>
  <si>
    <t>Pärssinen et al. (2018)</t>
  </si>
  <si>
    <t>Calculated assuming 2013 values from Urban et al. (2014) and an energy usage improvement of 3% per year based on Pärssinen et al. (2018)</t>
  </si>
  <si>
    <t>This work - min</t>
  </si>
  <si>
    <t>This work - max</t>
  </si>
  <si>
    <t>Van Heddenghem et al. (2014)</t>
  </si>
  <si>
    <t>Urban et al. (2017)</t>
  </si>
  <si>
    <t>year</t>
  </si>
  <si>
    <t>device</t>
  </si>
  <si>
    <t>source</t>
  </si>
  <si>
    <t>active_hours_per_day</t>
  </si>
  <si>
    <t>kWh_per_active_hour</t>
  </si>
  <si>
    <t>Energy Use Calculator (2022) - min</t>
  </si>
  <si>
    <t>Energy Use Calculator (2022) - max</t>
  </si>
  <si>
    <t>This work - average</t>
  </si>
  <si>
    <t>active mode (hours/day)</t>
  </si>
  <si>
    <t>Urban et al. (2014) - average tablet</t>
  </si>
  <si>
    <t>Urban et al. (2014) - small tablet</t>
  </si>
  <si>
    <t>Urban et al. (2014) - large tablet</t>
  </si>
  <si>
    <t>This work - 2050 average</t>
  </si>
  <si>
    <t>Operating lifetime from Malmodin and Lundén (2018). Active hours per day from Urban et al. (2017) equivalent to 4h 48min ±42 min</t>
  </si>
  <si>
    <t>Pärssinen et al. (2018) - min</t>
  </si>
  <si>
    <t>Pärssinen et al. (2018) - max</t>
  </si>
  <si>
    <t>Pärssinen et al. (2018) - average</t>
  </si>
  <si>
    <t>Calculated assuming 2016 values and an energy usage improvement of 3% per year based on Pärssinen et al. (2018)</t>
  </si>
  <si>
    <t>Operating lifetime from Clément et al. (2020) and active hours per day from Urban et al. (2014) assuming ±1 hour for the lower and upper bound</t>
  </si>
  <si>
    <t>Extrapolation from Van Heddenghem et al. (2014) assuming 4% annual decrease in electricity consumption</t>
  </si>
  <si>
    <t>Calculated assuming 2012 value from Van Heddenghem et al. (2014) and an energy usage improvement of 4% per year based on Pärssinen et al. (2018)</t>
  </si>
  <si>
    <t>5h 30min</t>
  </si>
  <si>
    <t>3h 30min</t>
  </si>
  <si>
    <t>7h</t>
  </si>
  <si>
    <t>2h 30min</t>
  </si>
  <si>
    <t>1h 30min</t>
  </si>
  <si>
    <t>4h</t>
  </si>
  <si>
    <t>3h 24min</t>
  </si>
  <si>
    <t>4h 36min</t>
  </si>
  <si>
    <t>4h 48min</t>
  </si>
  <si>
    <t>4h 6min</t>
  </si>
  <si>
    <t>4h 30min</t>
  </si>
  <si>
    <t>2h 46min</t>
  </si>
  <si>
    <t>2h</t>
  </si>
  <si>
    <t>3h</t>
  </si>
  <si>
    <t>kWh_per_year</t>
  </si>
  <si>
    <t>2050_average</t>
  </si>
  <si>
    <t>Yearly electricity consumption of a smartphone in 2020 and 2050 was extrapolated from 2016 data (average of 3.34 kWh/year ranging from 2.519 to 4.161 kWh/year) considering an annual energy usage improvement of 3% after Pärssinen et al. (2018). Yearly consumption was converted to consumption per active hour considering 5h 30min of active mode based on a survey prepared by Statista (2021a) for the U.S. in 2021</t>
  </si>
  <si>
    <t>Yearly consumption of an average smartphone in the U.S. in 2013. 5h 30min of active mode per day was assumed based on a survey prepared by Statista (2021a) for the U.S. in 2021.</t>
  </si>
  <si>
    <t>Yearly consumption of an average, small, and large tablet in the U.S. in 2013. 2h 30min of active mode per day was assumed based on Urban et al. (2014)</t>
  </si>
  <si>
    <t>iPad Air 2 tablet</t>
  </si>
  <si>
    <t>Yearly electricity consumption of a tablet in 2020 and 2050 was extrapolated from 2013 data provided by Urban et al. (2014) (average of 6.1 kWh/year ranging from 4.2 kWh/year for a small tablet to 7.2 kWh/year for a large tablet) and considering an annual energy usage improvement of 3% after Pärssinen et al. (2018). Yearly consumption was converted to consumption per active hour considering 2h and 30min of active mode per day based on Urban et al. (2014)</t>
  </si>
  <si>
    <t>Average of household and office laptops. 4h of active mode per day were assumed after Urban et al. (2017)</t>
  </si>
  <si>
    <t>Desktop computer</t>
  </si>
  <si>
    <t>Desktop computer + monitor</t>
  </si>
  <si>
    <t>Average of household and office dekstop computer equipped with LCD monitors. 4h 48 min of active mode per day were assumed after Urban et al. (2017)</t>
  </si>
  <si>
    <t>Yearly consumption of an average desktop computer with monitor in the U.S. in 2017</t>
  </si>
  <si>
    <t>Smartphones consume between 2.519 and 4.161 kWh/year (an average of 3.34 kWh/year)</t>
  </si>
  <si>
    <t>Yearly consumption of an average laptop in the U.S. in 2017</t>
  </si>
  <si>
    <t>Average desktop computer with monitor</t>
  </si>
  <si>
    <t>Calculated assuming 2012 value from Van Heddenghem et al. (2014) and an energy usage improvement of 3% per year based on Pärssinen et al. (2018)</t>
  </si>
  <si>
    <t>Yearly electricity consumption of a laptop in 2020 was extrapolated from 2012 data from Van Heedeghem et al. (2014) (average of 49 kWh/year) and considering an annual energy usage improvement of 4% after Pärssinen et al. (2018). Yearly consumption was converted to consumption per active hour considering 4h of active mode per day (Urban et al., 2017). ±30% around the average value was used to define the minimum-maximum range after Pärssinen et al. (2018)</t>
  </si>
  <si>
    <t>Yearly electricity consumption of a desktop PC with LCD monitor in 2020 was extrapolated from 2012 data from Van Heedeghem et al. (2014) (245 kWh/year) and considering an annual energy usage improvement of 1% after Pärssinen et al. (2018). Yearly consumption was converted to consumption per active hour considering 4h 48min of active mode per day (Urban et al., 2017). ±30% around the average value was used to define the minimum-maximum range after Pärssinen et al. (2018)</t>
  </si>
  <si>
    <t>Parameter(s)</t>
  </si>
  <si>
    <t>Data traffic per digital content (GB/hour)</t>
  </si>
  <si>
    <r>
      <t xml:space="preserve">Average market data for year 2022; see </t>
    </r>
    <r>
      <rPr>
        <i/>
        <sz val="11"/>
        <color theme="1"/>
        <rFont val="Calibri"/>
        <family val="2"/>
        <scheme val="minor"/>
      </rPr>
      <t>ei_tv_dataset.</t>
    </r>
    <r>
      <rPr>
        <sz val="11"/>
        <color theme="1"/>
        <rFont val="Calibri"/>
        <family val="2"/>
        <scheme val="minor"/>
      </rPr>
      <t xml:space="preserve"> Electricity used in standby not included (negligible). Extrapolation to 2050 considering an annual energy usage improvement of 5% after Madlener et al. (2022)</t>
    </r>
  </si>
  <si>
    <t>Average market data for year 2022; see ei_tv_dataset. Electricity used in standby not included (negligible). Extrapolation to 2050 considering an annual energy usage improvement of 5% after Madlener et al. (2022)</t>
  </si>
  <si>
    <t>Costumer premise equipment includes modems and WiFi routers used to access the Internet at home. This equipment consumes between 4 and 10 Wh (Coroama et al., 2015). An average value of 7 Wh was assumed as default for the year 2020. Extrapolation to 2050 considering an annual energy usage improvement of 2% after Madlener et al. (2022)</t>
  </si>
  <si>
    <t>The access network refers to the equipment connecting users to Internet Service Provider (ISP). This equipment consumes about 2.8 Wh (Coroama et al., 2015). ±20% around the average value was used to define the lower and upper bounds. Extrapolation to 2050 considering an annual energy usage improvement of 2% after Madlener et al. (2022)</t>
  </si>
  <si>
    <t>The Internet core network includes mainly routers and fiber optic equipment (including undersea cables). According to Schien and Priest (2014), the core network consumed 0.02 kWh/GB in 2014; 25th and 75th percentiles from a Monte Carlo simulation were used to define the lower and upper bounds. In order to extrapolate these values to 2020 and 2050, we assumed an annual energy usage improvement of 2% after Madlener et al. (2022). This improvement can be considered as a conservative assumption as previous works used values as high as 12.5% (Schien et al., 2014) or 20% (Andrae, 2020)</t>
  </si>
  <si>
    <t>Massanet et al. (2020) estimated the electricity consumption of global data centers in 2020 equal to 196.2 TWh. The electricity intensity was calculated by dividing global electricity consumption by the outbound data traffic. According to projections developed by Cisco (2018), only 28% of all data centers data traffic in 2020 (17.1 ZB) goes to other data centers and users, while 72% is data traffic within the data centers. This gives a reference value of 4.74 ZB outbound traffic in 2020. The lower and upper bounds equal ±25% around the average value, based on the 95% confidence interval obtained by Koot and Wijnhoven (2021). Extrapolation to 2050 considering an annual energy usage improvement of 2% after Madlener et al. (2022)</t>
  </si>
  <si>
    <t>Statista (2021a). Average time spent daily on a smartphone in the United States 2021. Available at: https://www.statista.com/statistics/1224510/time-spent-per-day-on-smartphone-us/#:~:text=According%20to%20a%20survey%20conducted,average%20on%20their%20phone%20daily.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</si>
</sst>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00"/>
    <numFmt numFmtId="168" formatCode="0.000E+00"/>
    <numFmt numFmtId="169" formatCode="0.000000"/>
    <numFmt numFmtId="170" formatCode="0.00000%"/>
    <numFmt numFmtId="171"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1"/>
      <name val="Calibri"/>
      <family val="2"/>
      <scheme val="minor"/>
    </font>
    <font>
      <b/>
      <u/>
      <sz val="11"/>
      <color theme="10"/>
      <name val="Calibri"/>
      <family val="2"/>
      <scheme val="minor"/>
    </font>
    <font>
      <vertAlign val="superscript"/>
      <sz val="11"/>
      <color theme="1"/>
      <name val="Calibri"/>
      <family val="2"/>
      <scheme val="minor"/>
    </font>
    <font>
      <b/>
      <sz val="12"/>
      <color theme="1"/>
      <name val="Calibri"/>
      <family val="2"/>
      <scheme val="minor"/>
    </font>
    <font>
      <sz val="11"/>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63">
    <xf numFmtId="0" fontId="0" fillId="0" borderId="0" xfId="0"/>
    <xf numFmtId="0" fontId="0" fillId="0" borderId="1" xfId="0" applyBorder="1"/>
    <xf numFmtId="0" fontId="2" fillId="0" borderId="0" xfId="1"/>
    <xf numFmtId="3" fontId="0" fillId="0" borderId="0" xfId="0" applyNumberFormat="1"/>
    <xf numFmtId="49" fontId="0" fillId="0" borderId="0" xfId="0" applyNumberFormat="1"/>
    <xf numFmtId="0" fontId="0" fillId="0" borderId="0" xfId="0" applyFill="1"/>
    <xf numFmtId="49" fontId="0" fillId="0" borderId="0" xfId="0" applyNumberFormat="1" applyFill="1"/>
    <xf numFmtId="3" fontId="0" fillId="0" borderId="0" xfId="0" applyNumberFormat="1" applyFill="1"/>
    <xf numFmtId="0" fontId="0" fillId="3" borderId="0" xfId="0" applyFill="1"/>
    <xf numFmtId="49" fontId="0" fillId="3" borderId="0" xfId="0" applyNumberFormat="1" applyFill="1"/>
    <xf numFmtId="3" fontId="0" fillId="3" borderId="0" xfId="0" applyNumberFormat="1" applyFill="1"/>
    <xf numFmtId="0" fontId="0" fillId="4" borderId="0" xfId="0" applyFill="1"/>
    <xf numFmtId="49" fontId="0" fillId="4" borderId="0" xfId="0" applyNumberFormat="1" applyFill="1"/>
    <xf numFmtId="3" fontId="0" fillId="4" borderId="0" xfId="0" applyNumberFormat="1" applyFill="1"/>
    <xf numFmtId="0" fontId="0" fillId="5" borderId="0" xfId="0" applyFill="1"/>
    <xf numFmtId="49" fontId="0" fillId="5" borderId="0" xfId="0" applyNumberFormat="1" applyFill="1"/>
    <xf numFmtId="3" fontId="0" fillId="5" borderId="0" xfId="0" applyNumberFormat="1" applyFill="1"/>
    <xf numFmtId="0" fontId="0" fillId="6" borderId="0" xfId="0" applyFill="1"/>
    <xf numFmtId="49" fontId="0" fillId="6" borderId="0" xfId="0" applyNumberFormat="1" applyFill="1"/>
    <xf numFmtId="3" fontId="0" fillId="6" borderId="0" xfId="0" applyNumberFormat="1" applyFill="1"/>
    <xf numFmtId="0" fontId="0" fillId="7" borderId="0" xfId="0" applyFill="1"/>
    <xf numFmtId="49" fontId="0" fillId="7" borderId="0" xfId="0" applyNumberFormat="1" applyFill="1"/>
    <xf numFmtId="3" fontId="0" fillId="7" borderId="0" xfId="0" applyNumberFormat="1" applyFill="1"/>
    <xf numFmtId="0" fontId="1" fillId="0" borderId="0" xfId="0" applyFont="1"/>
    <xf numFmtId="49" fontId="1" fillId="0" borderId="0" xfId="0" applyNumberFormat="1" applyFont="1"/>
    <xf numFmtId="3" fontId="1" fillId="0" borderId="0" xfId="0" applyNumberFormat="1" applyFont="1"/>
    <xf numFmtId="0" fontId="0" fillId="0" borderId="3" xfId="0" applyBorder="1"/>
    <xf numFmtId="0" fontId="0" fillId="0" borderId="0" xfId="0" applyAlignment="1">
      <alignment horizontal="right"/>
    </xf>
    <xf numFmtId="0" fontId="3" fillId="0" borderId="0" xfId="0" applyFont="1"/>
    <xf numFmtId="0" fontId="0" fillId="0" borderId="0" xfId="0" applyBorder="1"/>
    <xf numFmtId="165" fontId="0" fillId="0" borderId="3" xfId="0" applyNumberFormat="1" applyBorder="1" applyAlignment="1">
      <alignment horizontal="right"/>
    </xf>
    <xf numFmtId="165" fontId="0" fillId="0" borderId="3" xfId="0" applyNumberFormat="1" applyBorder="1"/>
    <xf numFmtId="165" fontId="2" fillId="0" borderId="0" xfId="1" applyNumberFormat="1" applyFill="1" applyBorder="1"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0" fillId="8" borderId="13" xfId="0" applyFill="1" applyBorder="1"/>
    <xf numFmtId="0" fontId="0" fillId="8" borderId="12" xfId="0" applyFill="1" applyBorder="1"/>
    <xf numFmtId="0" fontId="0" fillId="9" borderId="13" xfId="0" applyFill="1" applyBorder="1"/>
    <xf numFmtId="0" fontId="1" fillId="0" borderId="10" xfId="0" applyFont="1" applyBorder="1" applyAlignment="1">
      <alignment horizontal="right" vertical="center" wrapText="1"/>
    </xf>
    <xf numFmtId="0" fontId="1" fillId="0" borderId="11" xfId="0" applyFont="1" applyBorder="1" applyAlignment="1">
      <alignment horizontal="right" vertical="center"/>
    </xf>
    <xf numFmtId="3" fontId="0" fillId="0" borderId="13" xfId="0" applyNumberFormat="1" applyFill="1" applyBorder="1" applyAlignment="1">
      <alignment horizontal="right"/>
    </xf>
    <xf numFmtId="10" fontId="0" fillId="0" borderId="6" xfId="0" applyNumberFormat="1" applyFill="1" applyBorder="1"/>
    <xf numFmtId="3" fontId="0" fillId="0" borderId="7" xfId="0" applyNumberFormat="1" applyFill="1" applyBorder="1" applyAlignment="1">
      <alignment horizontal="right"/>
    </xf>
    <xf numFmtId="3" fontId="0" fillId="0" borderId="12" xfId="0" applyNumberFormat="1" applyFill="1" applyBorder="1" applyAlignment="1">
      <alignment horizontal="right"/>
    </xf>
    <xf numFmtId="10" fontId="0" fillId="0" borderId="8" xfId="0" applyNumberFormat="1" applyFill="1" applyBorder="1"/>
    <xf numFmtId="3" fontId="0" fillId="0" borderId="9" xfId="0" applyNumberFormat="1" applyFill="1" applyBorder="1" applyAlignment="1">
      <alignment horizontal="righ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0" borderId="3" xfId="0" applyBorder="1" applyAlignment="1">
      <alignment vertical="top" wrapText="1"/>
    </xf>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3" xfId="0" applyBorder="1" applyAlignment="1">
      <alignment vertical="top"/>
    </xf>
    <xf numFmtId="0" fontId="0" fillId="0" borderId="3" xfId="0" applyBorder="1" applyAlignment="1">
      <alignment horizontal="right" vertical="top"/>
    </xf>
    <xf numFmtId="0" fontId="0" fillId="0" borderId="0" xfId="0" applyAlignment="1">
      <alignment horizontal="right" vertical="top"/>
    </xf>
    <xf numFmtId="0" fontId="0" fillId="0" borderId="0" xfId="0" applyAlignment="1">
      <alignment vertical="top"/>
    </xf>
    <xf numFmtId="165" fontId="0" fillId="0" borderId="3" xfId="0" applyNumberFormat="1" applyBorder="1" applyAlignment="1">
      <alignment horizontal="right" vertical="top"/>
    </xf>
    <xf numFmtId="165" fontId="0" fillId="0" borderId="3" xfId="0" applyNumberFormat="1" applyBorder="1" applyAlignment="1">
      <alignment horizontal="right" vertical="top" wrapText="1"/>
    </xf>
    <xf numFmtId="0" fontId="2" fillId="0" borderId="0" xfId="1" applyBorder="1"/>
    <xf numFmtId="0" fontId="0" fillId="0" borderId="2" xfId="0" applyBorder="1" applyAlignment="1">
      <alignment vertical="top"/>
    </xf>
    <xf numFmtId="165" fontId="0" fillId="0" borderId="2" xfId="0" applyNumberFormat="1" applyBorder="1" applyAlignment="1">
      <alignment horizontal="right" vertical="top"/>
    </xf>
    <xf numFmtId="0" fontId="0" fillId="0" borderId="2" xfId="0" applyBorder="1" applyAlignment="1">
      <alignment horizontal="right" vertical="top"/>
    </xf>
    <xf numFmtId="0" fontId="0" fillId="0" borderId="3" xfId="0" applyFill="1" applyBorder="1" applyAlignment="1">
      <alignment vertical="top" wrapText="1"/>
    </xf>
    <xf numFmtId="0" fontId="0" fillId="0" borderId="0" xfId="0" applyBorder="1" applyAlignment="1">
      <alignment horizontal="right" vertical="top"/>
    </xf>
    <xf numFmtId="0" fontId="0" fillId="0" borderId="0" xfId="0" applyAlignment="1">
      <alignment wrapText="1"/>
    </xf>
    <xf numFmtId="0" fontId="0" fillId="0" borderId="1" xfId="0" applyBorder="1" applyAlignment="1">
      <alignment vertical="center"/>
    </xf>
    <xf numFmtId="0" fontId="1" fillId="0" borderId="1" xfId="0" applyFont="1" applyBorder="1"/>
    <xf numFmtId="0" fontId="1" fillId="2" borderId="1" xfId="0" applyFont="1" applyFill="1" applyBorder="1" applyAlignment="1">
      <alignment horizontal="right"/>
    </xf>
    <xf numFmtId="0" fontId="0" fillId="0" borderId="1" xfId="0" applyBorder="1" applyAlignment="1">
      <alignment horizontal="right" vertical="top"/>
    </xf>
    <xf numFmtId="0" fontId="1" fillId="0" borderId="0" xfId="0" applyFont="1" applyFill="1" applyBorder="1" applyAlignment="1">
      <alignment vertical="center"/>
    </xf>
    <xf numFmtId="0" fontId="1" fillId="0" borderId="1" xfId="0" applyFont="1" applyBorder="1" applyAlignment="1">
      <alignment horizontal="right"/>
    </xf>
    <xf numFmtId="164" fontId="0" fillId="0" borderId="0" xfId="0" applyNumberFormat="1" applyBorder="1" applyAlignment="1">
      <alignment horizontal="right"/>
    </xf>
    <xf numFmtId="0" fontId="0" fillId="0" borderId="1" xfId="0" applyBorder="1" applyAlignment="1">
      <alignment vertical="top"/>
    </xf>
    <xf numFmtId="0" fontId="0" fillId="0" borderId="1" xfId="0" applyBorder="1" applyAlignment="1">
      <alignment vertical="top" wrapText="1"/>
    </xf>
    <xf numFmtId="0" fontId="4" fillId="0" borderId="0" xfId="0" applyFont="1"/>
    <xf numFmtId="166" fontId="0" fillId="0" borderId="1" xfId="0" applyNumberFormat="1" applyBorder="1"/>
    <xf numFmtId="0" fontId="0" fillId="8" borderId="0" xfId="0" applyFill="1" applyAlignment="1">
      <alignment horizontal="right"/>
    </xf>
    <xf numFmtId="0" fontId="0" fillId="8" borderId="0" xfId="0" applyFill="1"/>
    <xf numFmtId="0" fontId="0" fillId="0" borderId="1" xfId="0" applyBorder="1" applyAlignment="1">
      <alignment horizontal="left" vertical="center"/>
    </xf>
    <xf numFmtId="0" fontId="0" fillId="10" borderId="0" xfId="0" applyFill="1"/>
    <xf numFmtId="0" fontId="1" fillId="2" borderId="1" xfId="0" applyFont="1" applyFill="1" applyBorder="1" applyAlignment="1">
      <alignment horizontal="center"/>
    </xf>
    <xf numFmtId="0" fontId="1" fillId="2" borderId="1" xfId="0" applyFont="1" applyFill="1" applyBorder="1" applyAlignment="1">
      <alignment horizontal="left"/>
    </xf>
    <xf numFmtId="164" fontId="0" fillId="0" borderId="0" xfId="0" applyNumberFormat="1" applyAlignment="1">
      <alignment horizontal="right"/>
    </xf>
    <xf numFmtId="164" fontId="0" fillId="0" borderId="1" xfId="0" applyNumberFormat="1" applyBorder="1" applyAlignment="1">
      <alignment horizontal="left" vertical="top"/>
    </xf>
    <xf numFmtId="164" fontId="0" fillId="0" borderId="1" xfId="0" applyNumberFormat="1" applyBorder="1" applyAlignment="1">
      <alignment horizontal="right" vertical="top"/>
    </xf>
    <xf numFmtId="0" fontId="0" fillId="0" borderId="1" xfId="0" applyBorder="1" applyAlignment="1">
      <alignment horizontal="right" vertical="top" wrapText="1"/>
    </xf>
    <xf numFmtId="11" fontId="0" fillId="0" borderId="0" xfId="0" applyNumberFormat="1"/>
    <xf numFmtId="0" fontId="0" fillId="0" borderId="0" xfId="0" applyNumberFormat="1"/>
    <xf numFmtId="10" fontId="0" fillId="0" borderId="0" xfId="0" applyNumberFormat="1"/>
    <xf numFmtId="2" fontId="0" fillId="0" borderId="0" xfId="0" applyNumberFormat="1" applyAlignment="1">
      <alignment horizontal="right"/>
    </xf>
    <xf numFmtId="1" fontId="0" fillId="0" borderId="1" xfId="0" applyNumberFormat="1" applyBorder="1" applyAlignment="1">
      <alignment vertical="top"/>
    </xf>
    <xf numFmtId="164" fontId="0" fillId="0" borderId="0" xfId="0" applyNumberFormat="1"/>
    <xf numFmtId="1" fontId="0" fillId="0" borderId="0" xfId="0" applyNumberFormat="1"/>
    <xf numFmtId="9" fontId="0" fillId="0" borderId="0" xfId="0" applyNumberFormat="1"/>
    <xf numFmtId="3" fontId="0" fillId="0" borderId="1" xfId="0" applyNumberFormat="1" applyBorder="1" applyAlignment="1">
      <alignment vertical="top"/>
    </xf>
    <xf numFmtId="0" fontId="2" fillId="0" borderId="0" xfId="1" applyBorder="1" applyAlignment="1">
      <alignment horizontal="left"/>
    </xf>
    <xf numFmtId="165" fontId="6" fillId="0" borderId="0" xfId="1" applyNumberFormat="1" applyFont="1" applyFill="1" applyBorder="1" applyAlignment="1">
      <alignment horizontal="left"/>
    </xf>
    <xf numFmtId="2" fontId="0" fillId="0" borderId="0" xfId="0" applyNumberFormat="1"/>
    <xf numFmtId="1" fontId="2" fillId="0" borderId="0" xfId="1" applyNumberFormat="1"/>
    <xf numFmtId="2" fontId="2" fillId="0" borderId="0" xfId="1" applyNumberFormat="1"/>
    <xf numFmtId="0" fontId="7" fillId="0" borderId="0" xfId="1" applyFont="1"/>
    <xf numFmtId="0" fontId="2" fillId="0" borderId="0" xfId="1" applyAlignment="1">
      <alignment horizontal="right"/>
    </xf>
    <xf numFmtId="3" fontId="0" fillId="0" borderId="1" xfId="0" applyNumberFormat="1" applyBorder="1" applyAlignment="1">
      <alignment vertical="top" wrapText="1"/>
    </xf>
    <xf numFmtId="0" fontId="2" fillId="0" borderId="1" xfId="1" applyBorder="1" applyAlignment="1">
      <alignment horizontal="right" wrapText="1"/>
    </xf>
    <xf numFmtId="0" fontId="2" fillId="0" borderId="1" xfId="1" applyBorder="1" applyAlignment="1">
      <alignment horizontal="right" vertical="top" wrapText="1"/>
    </xf>
    <xf numFmtId="10" fontId="0" fillId="0" borderId="1" xfId="0" applyNumberFormat="1" applyBorder="1" applyAlignment="1">
      <alignment vertical="top" wrapText="1"/>
    </xf>
    <xf numFmtId="0" fontId="0" fillId="10" borderId="13" xfId="0" applyFill="1" applyBorder="1"/>
    <xf numFmtId="3" fontId="0" fillId="10" borderId="13" xfId="0" applyNumberFormat="1" applyFill="1" applyBorder="1" applyAlignment="1">
      <alignment horizontal="right"/>
    </xf>
    <xf numFmtId="10" fontId="0" fillId="10" borderId="6" xfId="0" applyNumberFormat="1" applyFill="1" applyBorder="1"/>
    <xf numFmtId="3" fontId="0" fillId="10" borderId="7" xfId="0" applyNumberFormat="1" applyFill="1" applyBorder="1" applyAlignment="1">
      <alignment horizontal="right"/>
    </xf>
    <xf numFmtId="0" fontId="0" fillId="11" borderId="13" xfId="0" applyFill="1" applyBorder="1"/>
    <xf numFmtId="3" fontId="0" fillId="11" borderId="13" xfId="0" applyNumberFormat="1" applyFill="1" applyBorder="1" applyAlignment="1">
      <alignment horizontal="right"/>
    </xf>
    <xf numFmtId="0" fontId="0" fillId="11" borderId="0" xfId="0" applyFill="1"/>
    <xf numFmtId="10" fontId="0" fillId="11" borderId="6" xfId="0" applyNumberFormat="1" applyFill="1" applyBorder="1"/>
    <xf numFmtId="3" fontId="0" fillId="11" borderId="7" xfId="0" applyNumberFormat="1" applyFill="1" applyBorder="1" applyAlignment="1">
      <alignment horizontal="right"/>
    </xf>
    <xf numFmtId="0" fontId="0" fillId="0" borderId="13" xfId="0" applyFill="1" applyBorder="1"/>
    <xf numFmtId="0" fontId="0" fillId="2" borderId="13" xfId="0" applyFill="1" applyBorder="1"/>
    <xf numFmtId="3" fontId="0" fillId="2" borderId="13" xfId="0" applyNumberFormat="1" applyFill="1" applyBorder="1" applyAlignment="1">
      <alignment horizontal="right"/>
    </xf>
    <xf numFmtId="0" fontId="0" fillId="2" borderId="0" xfId="0" applyFill="1"/>
    <xf numFmtId="10" fontId="0" fillId="2" borderId="6" xfId="0" applyNumberFormat="1" applyFill="1" applyBorder="1"/>
    <xf numFmtId="3" fontId="0" fillId="2" borderId="7" xfId="0" applyNumberFormat="1" applyFill="1" applyBorder="1" applyAlignment="1">
      <alignment horizontal="right"/>
    </xf>
    <xf numFmtId="167" fontId="0" fillId="0" borderId="1" xfId="0" applyNumberFormat="1" applyBorder="1" applyAlignment="1">
      <alignment vertical="top"/>
    </xf>
    <xf numFmtId="0" fontId="0" fillId="0" borderId="0" xfId="0" applyAlignment="1">
      <alignment vertical="center"/>
    </xf>
    <xf numFmtId="0" fontId="1" fillId="2" borderId="1" xfId="0" applyFont="1" applyFill="1" applyBorder="1" applyAlignment="1">
      <alignment horizontal="right" vertical="center" wrapText="1"/>
    </xf>
    <xf numFmtId="0" fontId="0" fillId="0" borderId="1" xfId="0" applyBorder="1" applyAlignment="1">
      <alignment horizontal="left" vertical="top"/>
    </xf>
    <xf numFmtId="165" fontId="0" fillId="0" borderId="1" xfId="0" applyNumberFormat="1" applyBorder="1" applyAlignment="1">
      <alignment horizontal="right"/>
    </xf>
    <xf numFmtId="2" fontId="0" fillId="0" borderId="1" xfId="0" applyNumberFormat="1" applyBorder="1" applyAlignment="1">
      <alignment vertical="top"/>
    </xf>
    <xf numFmtId="164" fontId="0" fillId="0" borderId="1" xfId="0" applyNumberFormat="1" applyBorder="1" applyAlignment="1">
      <alignment horizontal="left" vertical="top" wrapText="1"/>
    </xf>
    <xf numFmtId="0" fontId="1" fillId="2" borderId="1" xfId="0" applyFont="1" applyFill="1" applyBorder="1" applyAlignment="1">
      <alignment horizontal="right" vertical="center"/>
    </xf>
    <xf numFmtId="1" fontId="0" fillId="0" borderId="1" xfId="0" applyNumberFormat="1" applyBorder="1" applyAlignment="1">
      <alignment vertical="top" wrapText="1"/>
    </xf>
    <xf numFmtId="9" fontId="0" fillId="0" borderId="1" xfId="0" applyNumberFormat="1" applyBorder="1" applyAlignment="1">
      <alignment vertical="top"/>
    </xf>
    <xf numFmtId="10" fontId="0" fillId="0" borderId="0" xfId="0" applyNumberFormat="1" applyAlignment="1">
      <alignment horizontal="left"/>
    </xf>
    <xf numFmtId="9" fontId="0" fillId="0" borderId="0" xfId="0" applyNumberFormat="1" applyAlignment="1">
      <alignment horizontal="left"/>
    </xf>
    <xf numFmtId="1" fontId="1" fillId="0" borderId="0" xfId="0" applyNumberFormat="1" applyFont="1" applyFill="1" applyBorder="1" applyAlignment="1">
      <alignment vertical="center"/>
    </xf>
    <xf numFmtId="0" fontId="0" fillId="0" borderId="1" xfId="0" applyNumberFormat="1" applyBorder="1" applyAlignment="1">
      <alignment horizontal="center"/>
    </xf>
    <xf numFmtId="1" fontId="0" fillId="0" borderId="1" xfId="0" applyNumberFormat="1" applyBorder="1" applyAlignment="1">
      <alignment horizontal="center"/>
    </xf>
    <xf numFmtId="9" fontId="0" fillId="0" borderId="0" xfId="0" applyNumberFormat="1" applyAlignment="1">
      <alignment horizontal="right"/>
    </xf>
    <xf numFmtId="10" fontId="0" fillId="0" borderId="0" xfId="0" applyNumberFormat="1" applyAlignment="1">
      <alignment horizontal="right"/>
    </xf>
    <xf numFmtId="2" fontId="0" fillId="0" borderId="1" xfId="0" applyNumberFormat="1" applyBorder="1" applyAlignment="1">
      <alignment horizontal="right" vertical="top"/>
    </xf>
    <xf numFmtId="10" fontId="0" fillId="0" borderId="1" xfId="0" applyNumberFormat="1" applyBorder="1" applyAlignment="1">
      <alignment horizontal="left" vertical="top"/>
    </xf>
    <xf numFmtId="0" fontId="0" fillId="0" borderId="0" xfId="0" applyAlignment="1">
      <alignment horizontal="left"/>
    </xf>
    <xf numFmtId="0" fontId="5" fillId="0" borderId="1" xfId="0" applyFont="1" applyBorder="1" applyAlignment="1">
      <alignment horizontal="left" vertical="top" indent="2"/>
    </xf>
    <xf numFmtId="10" fontId="5" fillId="0" borderId="1" xfId="0" applyNumberFormat="1" applyFont="1" applyBorder="1" applyAlignment="1">
      <alignment horizontal="left" vertical="top"/>
    </xf>
    <xf numFmtId="1" fontId="5" fillId="0" borderId="1" xfId="0" applyNumberFormat="1" applyFont="1" applyBorder="1" applyAlignment="1">
      <alignment vertical="top"/>
    </xf>
    <xf numFmtId="9" fontId="5" fillId="0" borderId="1" xfId="0" applyNumberFormat="1" applyFont="1" applyBorder="1" applyAlignment="1">
      <alignment vertical="top"/>
    </xf>
    <xf numFmtId="0" fontId="1" fillId="2" borderId="14" xfId="0" applyFont="1" applyFill="1"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wrapText="1"/>
    </xf>
    <xf numFmtId="168" fontId="0" fillId="0" borderId="1" xfId="0" applyNumberFormat="1" applyBorder="1" applyAlignment="1">
      <alignment vertical="top"/>
    </xf>
    <xf numFmtId="0" fontId="1" fillId="2" borderId="12" xfId="0" applyFont="1" applyFill="1" applyBorder="1" applyAlignment="1">
      <alignment vertical="center" wrapText="1"/>
    </xf>
    <xf numFmtId="10" fontId="0" fillId="0" borderId="1" xfId="0" applyNumberFormat="1" applyBorder="1" applyAlignment="1">
      <alignment vertical="top"/>
    </xf>
    <xf numFmtId="0" fontId="0" fillId="0" borderId="1" xfId="0" applyBorder="1" applyAlignment="1">
      <alignment horizontal="right" vertical="top" wrapText="1"/>
    </xf>
    <xf numFmtId="0" fontId="1" fillId="2" borderId="1" xfId="0" applyFont="1" applyFill="1" applyBorder="1" applyAlignment="1">
      <alignment horizontal="right" vertical="center"/>
    </xf>
    <xf numFmtId="0" fontId="0" fillId="0" borderId="1" xfId="0" applyBorder="1" applyAlignment="1">
      <alignment horizontal="right"/>
    </xf>
    <xf numFmtId="0" fontId="0" fillId="0" borderId="1" xfId="0" applyBorder="1" applyAlignment="1">
      <alignment horizontal="left" indent="2"/>
    </xf>
    <xf numFmtId="0" fontId="1" fillId="0" borderId="1" xfId="0" applyFont="1" applyBorder="1" applyAlignment="1">
      <alignment horizontal="left"/>
    </xf>
    <xf numFmtId="11" fontId="0" fillId="0" borderId="1" xfId="0" applyNumberFormat="1" applyBorder="1" applyAlignment="1">
      <alignment horizontal="right"/>
    </xf>
    <xf numFmtId="168" fontId="0" fillId="0" borderId="1" xfId="0" applyNumberFormat="1" applyBorder="1" applyAlignment="1">
      <alignment horizontal="right"/>
    </xf>
    <xf numFmtId="2" fontId="0" fillId="0" borderId="1" xfId="0" applyNumberFormat="1" applyBorder="1" applyAlignment="1">
      <alignment horizontal="right"/>
    </xf>
    <xf numFmtId="0" fontId="0" fillId="0" borderId="1" xfId="0" applyFont="1" applyBorder="1" applyAlignment="1">
      <alignment horizontal="right" vertical="center"/>
    </xf>
    <xf numFmtId="2" fontId="0" fillId="0" borderId="1" xfId="0" applyNumberFormat="1" applyFont="1" applyBorder="1" applyAlignment="1">
      <alignment horizontal="right" vertical="center"/>
    </xf>
    <xf numFmtId="0" fontId="0" fillId="0" borderId="1" xfId="0" applyFont="1" applyBorder="1" applyAlignment="1">
      <alignment horizontal="right" vertical="center" wrapText="1"/>
    </xf>
    <xf numFmtId="164" fontId="0" fillId="0" borderId="1" xfId="0" applyNumberForma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horizontal="right" vertical="center"/>
    </xf>
    <xf numFmtId="0" fontId="1" fillId="2" borderId="1" xfId="0" applyFont="1" applyFill="1" applyBorder="1" applyAlignment="1">
      <alignment vertical="center"/>
    </xf>
    <xf numFmtId="0" fontId="0" fillId="8" borderId="1" xfId="0" applyFill="1" applyBorder="1" applyAlignment="1">
      <alignment vertical="top"/>
    </xf>
    <xf numFmtId="164" fontId="0" fillId="8" borderId="1" xfId="0" applyNumberFormat="1" applyFill="1" applyBorder="1" applyAlignment="1">
      <alignment vertical="top"/>
    </xf>
    <xf numFmtId="2" fontId="0" fillId="8" borderId="1" xfId="0" applyNumberFormat="1" applyFill="1" applyBorder="1" applyAlignment="1">
      <alignment vertical="top"/>
    </xf>
    <xf numFmtId="0" fontId="0" fillId="10" borderId="1" xfId="0" applyFill="1" applyBorder="1" applyAlignment="1">
      <alignment vertical="top"/>
    </xf>
    <xf numFmtId="0" fontId="0" fillId="10" borderId="1" xfId="0" applyFill="1" applyBorder="1" applyAlignment="1">
      <alignment horizontal="right" vertical="top"/>
    </xf>
    <xf numFmtId="164" fontId="0" fillId="10" borderId="1" xfId="0" applyNumberForma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right" vertical="top"/>
    </xf>
    <xf numFmtId="164" fontId="0" fillId="0" borderId="1" xfId="0" applyNumberFormat="1" applyFill="1" applyBorder="1" applyAlignment="1">
      <alignment vertical="top"/>
    </xf>
    <xf numFmtId="0" fontId="1" fillId="0" borderId="1" xfId="0" applyFont="1" applyFill="1" applyBorder="1" applyAlignment="1">
      <alignment horizontal="right" vertical="center"/>
    </xf>
    <xf numFmtId="0" fontId="0" fillId="0" borderId="1" xfId="0" applyFont="1" applyFill="1" applyBorder="1" applyAlignment="1">
      <alignment horizontal="right" vertical="center"/>
    </xf>
    <xf numFmtId="0" fontId="0" fillId="0" borderId="1" xfId="0" applyFill="1" applyBorder="1"/>
    <xf numFmtId="0" fontId="0" fillId="0" borderId="1" xfId="0" applyFill="1" applyBorder="1" applyAlignment="1">
      <alignment horizontal="left" vertical="top"/>
    </xf>
    <xf numFmtId="169" fontId="0" fillId="0" borderId="1" xfId="0" applyNumberFormat="1" applyBorder="1" applyAlignment="1">
      <alignment vertical="top"/>
    </xf>
    <xf numFmtId="169" fontId="0" fillId="0" borderId="1" xfId="0" applyNumberFormat="1" applyBorder="1" applyAlignment="1">
      <alignment horizontal="right" vertical="top"/>
    </xf>
    <xf numFmtId="0" fontId="0" fillId="0" borderId="1" xfId="0" applyFill="1" applyBorder="1" applyAlignment="1">
      <alignment horizontal="right" vertical="top" wrapText="1"/>
    </xf>
    <xf numFmtId="0" fontId="0" fillId="8" borderId="1" xfId="0" applyFill="1" applyBorder="1" applyAlignment="1">
      <alignment vertical="top" wrapText="1"/>
    </xf>
    <xf numFmtId="1" fontId="0" fillId="8" borderId="1" xfId="0" applyNumberFormat="1" applyFill="1" applyBorder="1" applyAlignment="1">
      <alignment vertical="top"/>
    </xf>
    <xf numFmtId="2" fontId="0" fillId="0" borderId="1" xfId="0" applyNumberFormat="1" applyFont="1" applyBorder="1" applyAlignment="1">
      <alignment horizontal="right" vertical="top"/>
    </xf>
    <xf numFmtId="2" fontId="0" fillId="10" borderId="1" xfId="0" applyNumberFormat="1" applyFill="1" applyBorder="1" applyAlignment="1">
      <alignment vertical="top"/>
    </xf>
    <xf numFmtId="2" fontId="0" fillId="10" borderId="1" xfId="0" applyNumberFormat="1" applyFill="1" applyBorder="1" applyAlignment="1">
      <alignment horizontal="right" vertical="top"/>
    </xf>
    <xf numFmtId="170" fontId="0" fillId="0" borderId="0" xfId="0" applyNumberFormat="1" applyAlignment="1">
      <alignment horizontal="right"/>
    </xf>
    <xf numFmtId="171" fontId="1" fillId="0" borderId="1" xfId="0" applyNumberFormat="1" applyFont="1" applyBorder="1" applyAlignment="1">
      <alignment vertical="top"/>
    </xf>
    <xf numFmtId="171" fontId="5" fillId="0" borderId="1" xfId="0" applyNumberFormat="1" applyFont="1" applyBorder="1" applyAlignment="1">
      <alignment vertical="top"/>
    </xf>
    <xf numFmtId="164" fontId="1" fillId="0" borderId="1" xfId="0" applyNumberFormat="1" applyFont="1" applyBorder="1" applyAlignment="1">
      <alignment vertical="top"/>
    </xf>
    <xf numFmtId="2" fontId="2" fillId="0" borderId="14" xfId="1" applyNumberFormat="1" applyBorder="1" applyAlignment="1">
      <alignment horizontal="right" vertical="center"/>
    </xf>
    <xf numFmtId="2" fontId="2" fillId="0" borderId="13" xfId="1" applyNumberFormat="1" applyBorder="1" applyAlignment="1">
      <alignment horizontal="right" vertical="center"/>
    </xf>
    <xf numFmtId="2" fontId="2" fillId="0" borderId="12" xfId="1" applyNumberFormat="1" applyBorder="1" applyAlignment="1">
      <alignment horizontal="right" vertical="center"/>
    </xf>
    <xf numFmtId="165" fontId="0" fillId="0" borderId="14"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2" xfId="0" applyNumberFormat="1" applyBorder="1" applyAlignment="1">
      <alignment horizontal="center" vertical="center"/>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14" xfId="0" applyBorder="1" applyAlignment="1">
      <alignment horizontal="right" vertical="top" wrapText="1"/>
    </xf>
    <xf numFmtId="0" fontId="0" fillId="0" borderId="13" xfId="0" applyBorder="1" applyAlignment="1">
      <alignment horizontal="right" vertical="top" wrapText="1"/>
    </xf>
    <xf numFmtId="0" fontId="0" fillId="0" borderId="12" xfId="0" applyBorder="1" applyAlignment="1">
      <alignment horizontal="right" vertical="top"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2" borderId="14" xfId="0" applyFont="1" applyFill="1" applyBorder="1" applyAlignment="1">
      <alignment horizontal="left" vertical="center"/>
    </xf>
    <xf numFmtId="0" fontId="1" fillId="2" borderId="12" xfId="0" applyFont="1" applyFill="1" applyBorder="1" applyAlignment="1">
      <alignment horizontal="left" vertical="center"/>
    </xf>
    <xf numFmtId="0" fontId="1" fillId="2" borderId="14" xfId="0" applyFont="1" applyFill="1" applyBorder="1" applyAlignment="1">
      <alignment horizontal="right" vertical="center"/>
    </xf>
    <xf numFmtId="0" fontId="1" fillId="2" borderId="12" xfId="0" applyFont="1" applyFill="1" applyBorder="1" applyAlignment="1">
      <alignment horizontal="right" vertical="center"/>
    </xf>
    <xf numFmtId="0" fontId="1" fillId="2" borderId="1"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 xfId="0" applyFont="1" applyFill="1" applyBorder="1" applyAlignment="1">
      <alignment horizontal="right" vertical="center"/>
    </xf>
    <xf numFmtId="0" fontId="0" fillId="0" borderId="1" xfId="0" applyBorder="1" applyAlignment="1">
      <alignment horizontal="righ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14"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9" fillId="0" borderId="1" xfId="0" applyFont="1" applyBorder="1" applyAlignment="1">
      <alignment horizontal="center"/>
    </xf>
    <xf numFmtId="0" fontId="9" fillId="0" borderId="10" xfId="0" applyFont="1" applyBorder="1" applyAlignment="1">
      <alignment horizontal="center"/>
    </xf>
    <xf numFmtId="0" fontId="9" fillId="0" borderId="3" xfId="0" applyFont="1" applyBorder="1" applyAlignment="1">
      <alignment horizontal="center"/>
    </xf>
    <xf numFmtId="0" fontId="9" fillId="0" borderId="11" xfId="0" applyFont="1" applyBorder="1" applyAlignment="1">
      <alignment horizontal="center"/>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0" fontId="0" fillId="0" borderId="14" xfId="0" applyFont="1" applyBorder="1" applyAlignment="1">
      <alignment horizontal="right" vertical="center" wrapText="1"/>
    </xf>
    <xf numFmtId="0" fontId="0" fillId="0" borderId="13" xfId="0" applyFont="1" applyBorder="1" applyAlignment="1">
      <alignment horizontal="right" vertical="center" wrapText="1"/>
    </xf>
    <xf numFmtId="0" fontId="0" fillId="0" borderId="12" xfId="0" applyFont="1" applyBorder="1" applyAlignment="1">
      <alignment horizontal="right" vertical="center" wrapText="1"/>
    </xf>
    <xf numFmtId="0" fontId="0" fillId="0" borderId="14" xfId="0" applyFont="1" applyFill="1" applyBorder="1" applyAlignment="1">
      <alignment horizontal="right" vertical="top" wrapText="1"/>
    </xf>
    <xf numFmtId="0" fontId="0" fillId="0" borderId="13" xfId="0" applyFont="1" applyFill="1" applyBorder="1" applyAlignment="1">
      <alignment horizontal="right" vertical="top" wrapText="1"/>
    </xf>
    <xf numFmtId="0" fontId="0" fillId="0" borderId="12" xfId="0" applyFont="1" applyFill="1" applyBorder="1" applyAlignment="1">
      <alignment horizontal="right" vertical="top" wrapText="1"/>
    </xf>
    <xf numFmtId="2" fontId="0" fillId="0" borderId="14" xfId="0" applyNumberFormat="1" applyBorder="1" applyAlignment="1">
      <alignment horizontal="right" vertical="center"/>
    </xf>
    <xf numFmtId="2" fontId="0" fillId="0" borderId="13" xfId="0" applyNumberFormat="1" applyBorder="1" applyAlignment="1">
      <alignment horizontal="right" vertical="center"/>
    </xf>
    <xf numFmtId="2" fontId="0" fillId="0" borderId="12" xfId="0" applyNumberFormat="1" applyBorder="1" applyAlignment="1">
      <alignment horizontal="right" vertical="center"/>
    </xf>
    <xf numFmtId="0" fontId="0" fillId="0" borderId="14"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Border="1" applyAlignment="1">
      <alignment horizontal="right" vertical="top" wrapText="1"/>
    </xf>
    <xf numFmtId="0" fontId="0" fillId="0" borderId="14" xfId="0" applyFill="1" applyBorder="1" applyAlignment="1">
      <alignment horizontal="right" vertical="top" wrapText="1"/>
    </xf>
    <xf numFmtId="0" fontId="0" fillId="0" borderId="13" xfId="0" applyFill="1" applyBorder="1" applyAlignment="1">
      <alignment horizontal="right" vertical="top" wrapText="1"/>
    </xf>
    <xf numFmtId="0" fontId="0" fillId="0" borderId="12" xfId="0" applyFill="1" applyBorder="1" applyAlignment="1">
      <alignment horizontal="right" vertical="top" wrapText="1"/>
    </xf>
    <xf numFmtId="0" fontId="0" fillId="0" borderId="14" xfId="0" applyFill="1" applyBorder="1" applyAlignment="1">
      <alignment horizontal="right" vertical="top"/>
    </xf>
    <xf numFmtId="0" fontId="0" fillId="0" borderId="13" xfId="0" applyFill="1" applyBorder="1" applyAlignment="1">
      <alignment horizontal="right" vertical="top"/>
    </xf>
    <xf numFmtId="0" fontId="0" fillId="0" borderId="12" xfId="0" applyFill="1" applyBorder="1" applyAlignment="1">
      <alignment horizontal="right" vertical="top"/>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4" xfId="0" applyBorder="1" applyAlignment="1">
      <alignment horizontal="left" vertical="top"/>
    </xf>
    <xf numFmtId="0" fontId="0" fillId="0" borderId="13" xfId="0" applyBorder="1" applyAlignment="1">
      <alignment horizontal="left" vertical="top"/>
    </xf>
    <xf numFmtId="0" fontId="0" fillId="0" borderId="12" xfId="0" applyBorder="1" applyAlignment="1">
      <alignment horizontal="left" vertical="top"/>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vertical="top" wrapText="1"/>
    </xf>
    <xf numFmtId="0" fontId="2" fillId="0" borderId="1" xfId="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cocostsavings.com/tv-wattag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ergyusecalculator.com/electricity_cellphone.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datareportal.com/reports/digital-2022-australia" TargetMode="External"/><Relationship Id="rId7" Type="http://schemas.openxmlformats.org/officeDocument/2006/relationships/hyperlink" Target="https://datareportal.com/reports/digital-2022-south-korea" TargetMode="External"/><Relationship Id="rId2" Type="http://schemas.openxmlformats.org/officeDocument/2006/relationships/hyperlink" Target="https://datareportal.com/reports/digital-2022-india" TargetMode="External"/><Relationship Id="rId1" Type="http://schemas.openxmlformats.org/officeDocument/2006/relationships/hyperlink" Target="https://datareportal.com/reports/digital-2022-china" TargetMode="External"/><Relationship Id="rId6" Type="http://schemas.openxmlformats.org/officeDocument/2006/relationships/hyperlink" Target="https://datareportal.com/reports/digital-2022-japan" TargetMode="External"/><Relationship Id="rId5" Type="http://schemas.openxmlformats.org/officeDocument/2006/relationships/hyperlink" Target="https://datareportal.com/reports/digital-2022-canada" TargetMode="External"/><Relationship Id="rId4" Type="http://schemas.openxmlformats.org/officeDocument/2006/relationships/hyperlink" Target="https://datareportal.com/reports/digital-2022-united-states-of-americ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ec.europa.eu/eurostat/databrowser/view/nrg_pc_204/default/table?lang=e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hootsuite.com/pages/digital-trends-202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tabank.worldbank.org/source/population-estimates-and-projec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microsoftteams/prepare-network" TargetMode="External"/><Relationship Id="rId13" Type="http://schemas.openxmlformats.org/officeDocument/2006/relationships/hyperlink" Target="https://help.disneyplus.com/csp?id=csp_article_content&amp;sys_kb_id=70013447db3fb018db5ed404ca961906" TargetMode="External"/><Relationship Id="rId18" Type="http://schemas.openxmlformats.org/officeDocument/2006/relationships/hyperlink" Target="https://www.wirefly.com/guides/how-much-data-does-facebook-app-use" TargetMode="External"/><Relationship Id="rId3" Type="http://schemas.openxmlformats.org/officeDocument/2006/relationships/hyperlink" Target="https://smarthomestarter.com/how-much-data-does-youtube-music-really-use/" TargetMode="External"/><Relationship Id="rId21" Type="http://schemas.openxmlformats.org/officeDocument/2006/relationships/hyperlink" Target="https://support.google.com/youtube/answer/2853702?hl=en" TargetMode="External"/><Relationship Id="rId7" Type="http://schemas.openxmlformats.org/officeDocument/2006/relationships/hyperlink" Target="https://support.zoom.us/hc/en-us/articles/201362023-System-requirements-for-Windows-macOS-and-Linux" TargetMode="External"/><Relationship Id="rId12" Type="http://schemas.openxmlformats.org/officeDocument/2006/relationships/hyperlink" Target="https://www.makeuseof.com/tag/how-much-data-does-streaming-video-use/" TargetMode="External"/><Relationship Id="rId17" Type="http://schemas.openxmlformats.org/officeDocument/2006/relationships/hyperlink" Target="https://www.wirefly.com/guides/how-much-data-does-facebook-app-use" TargetMode="External"/><Relationship Id="rId2" Type="http://schemas.openxmlformats.org/officeDocument/2006/relationships/hyperlink" Target="https://support.spotify.com/us/article/audio-quality/" TargetMode="External"/><Relationship Id="rId16" Type="http://schemas.openxmlformats.org/officeDocument/2006/relationships/hyperlink" Target="https://www.wirefly.com/guides/how-much-data-does-facebook-app-use" TargetMode="External"/><Relationship Id="rId20" Type="http://schemas.openxmlformats.org/officeDocument/2006/relationships/hyperlink" Target="https://www.canstarblue.com.au/apps/twitter-data-usage/" TargetMode="External"/><Relationship Id="rId1" Type="http://schemas.openxmlformats.org/officeDocument/2006/relationships/hyperlink" Target="https://fossbytes.com/internet-data-used-online-gaming/" TargetMode="External"/><Relationship Id="rId6" Type="http://schemas.openxmlformats.org/officeDocument/2006/relationships/hyperlink" Target="https://www.amaysim.com.au/blog/stuff-made-simple/internet-data-usage-guide" TargetMode="External"/><Relationship Id="rId11" Type="http://schemas.openxmlformats.org/officeDocument/2006/relationships/hyperlink" Target="https://vimeo.zendesk.com/hc/en-us/articles/224820827-Determining-playback-resolution" TargetMode="External"/><Relationship Id="rId24" Type="http://schemas.openxmlformats.org/officeDocument/2006/relationships/printerSettings" Target="../printerSettings/printerSettings8.bin"/><Relationship Id="rId5" Type="http://schemas.openxmlformats.org/officeDocument/2006/relationships/hyperlink" Target="https://help.soundcloud.com/hc/en-us/articles/360051838074-High-Quality-streaming" TargetMode="External"/><Relationship Id="rId15" Type="http://schemas.openxmlformats.org/officeDocument/2006/relationships/hyperlink" Target="https://help.twitch.tv/s/article/guide-to-broadcast-health-and-using-twitch-inspector?language=en_US" TargetMode="External"/><Relationship Id="rId23" Type="http://schemas.openxmlformats.org/officeDocument/2006/relationships/hyperlink" Target="https://schools.saisd.net/upload/page/11211/docs/Data%20Usage.pdf" TargetMode="External"/><Relationship Id="rId10" Type="http://schemas.openxmlformats.org/officeDocument/2006/relationships/hyperlink" Target="https://www.wirefly.com/guides/how-much-data-does-facebook-app-use" TargetMode="External"/><Relationship Id="rId19" Type="http://schemas.openxmlformats.org/officeDocument/2006/relationships/hyperlink" Target="https://whatsabyte.com/internet/data-tik-tok-use-per-hour/" TargetMode="External"/><Relationship Id="rId4" Type="http://schemas.openxmlformats.org/officeDocument/2006/relationships/hyperlink" Target="https://apps.voxmedia.com/graphics/theverge-music-streaming-comparison-table/" TargetMode="External"/><Relationship Id="rId9" Type="http://schemas.openxmlformats.org/officeDocument/2006/relationships/hyperlink" Target="https://support.skype.com/en/faq/FA1417/how-much-bandwidth-does-skype-need" TargetMode="External"/><Relationship Id="rId14" Type="http://schemas.openxmlformats.org/officeDocument/2006/relationships/hyperlink" Target="https://help.hulu.com/s/article/video-quality" TargetMode="External"/><Relationship Id="rId22" Type="http://schemas.openxmlformats.org/officeDocument/2006/relationships/hyperlink" Target="https://help.netflix.com/en/node/8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88DE-9169-4718-B9C8-409392A39E7E}">
  <dimension ref="A1:B10"/>
  <sheetViews>
    <sheetView showGridLines="0" workbookViewId="0">
      <selection activeCell="B21" sqref="B21"/>
    </sheetView>
  </sheetViews>
  <sheetFormatPr defaultRowHeight="14.6" x14ac:dyDescent="0.4"/>
  <cols>
    <col min="1" max="1" width="21.15234375" bestFit="1" customWidth="1"/>
    <col min="2" max="2" width="159.15234375" customWidth="1"/>
    <col min="3" max="3" width="10.53515625" customWidth="1"/>
  </cols>
  <sheetData>
    <row r="1" spans="1:2" x14ac:dyDescent="0.4">
      <c r="A1" s="46" t="s">
        <v>762</v>
      </c>
      <c r="B1" s="46" t="s">
        <v>126</v>
      </c>
    </row>
    <row r="2" spans="1:2" x14ac:dyDescent="0.4">
      <c r="A2" s="1" t="s">
        <v>461</v>
      </c>
      <c r="B2" s="1" t="s">
        <v>763</v>
      </c>
    </row>
    <row r="3" spans="1:2" s="56" customFormat="1" ht="75.75" customHeight="1" x14ac:dyDescent="0.4">
      <c r="A3" s="73" t="s">
        <v>255</v>
      </c>
      <c r="B3" s="74" t="s">
        <v>444</v>
      </c>
    </row>
    <row r="4" spans="1:2" s="56" customFormat="1" x14ac:dyDescent="0.4">
      <c r="A4" s="73" t="s">
        <v>668</v>
      </c>
      <c r="B4" s="74"/>
    </row>
    <row r="5" spans="1:2" x14ac:dyDescent="0.4">
      <c r="A5" s="1" t="s">
        <v>445</v>
      </c>
      <c r="B5" s="1" t="s">
        <v>489</v>
      </c>
    </row>
    <row r="6" spans="1:2" x14ac:dyDescent="0.4">
      <c r="A6" s="1" t="s">
        <v>490</v>
      </c>
      <c r="B6" s="1" t="s">
        <v>247</v>
      </c>
    </row>
    <row r="7" spans="1:2" x14ac:dyDescent="0.4">
      <c r="A7" s="1" t="s">
        <v>492</v>
      </c>
      <c r="B7" s="1" t="s">
        <v>493</v>
      </c>
    </row>
    <row r="8" spans="1:2" x14ac:dyDescent="0.4">
      <c r="A8" s="1" t="s">
        <v>494</v>
      </c>
      <c r="B8" s="1"/>
    </row>
    <row r="10" spans="1:2" x14ac:dyDescent="0.4">
      <c r="B10" s="9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9075-F58F-4CBE-8A7D-EBDA4D639A9F}">
  <dimension ref="A1:O110"/>
  <sheetViews>
    <sheetView workbookViewId="0">
      <selection activeCell="F23" sqref="F23"/>
    </sheetView>
  </sheetViews>
  <sheetFormatPr defaultRowHeight="14.6" x14ac:dyDescent="0.4"/>
  <cols>
    <col min="1" max="1" width="38.15234375" customWidth="1"/>
    <col min="2" max="2" width="12.15234375" bestFit="1" customWidth="1"/>
    <col min="3" max="3" width="15.69140625" style="27" bestFit="1" customWidth="1"/>
    <col min="4" max="4" width="10.53515625" style="27" bestFit="1" customWidth="1"/>
    <col min="5" max="5" width="20.15234375" bestFit="1" customWidth="1"/>
    <col min="6" max="6" width="19.53515625" bestFit="1" customWidth="1"/>
    <col min="7" max="7" width="18.69140625" bestFit="1" customWidth="1"/>
    <col min="8" max="8" width="15.84375" bestFit="1" customWidth="1"/>
    <col min="12" max="12" width="14" customWidth="1"/>
  </cols>
  <sheetData>
    <row r="1" spans="1:15" ht="18.45" x14ac:dyDescent="0.5">
      <c r="A1" s="75" t="s">
        <v>437</v>
      </c>
    </row>
    <row r="2" spans="1:15" x14ac:dyDescent="0.4">
      <c r="A2" s="2" t="s">
        <v>245</v>
      </c>
    </row>
    <row r="3" spans="1:15" x14ac:dyDescent="0.4">
      <c r="M3" s="257" t="s">
        <v>262</v>
      </c>
      <c r="N3" s="257"/>
      <c r="O3" s="257"/>
    </row>
    <row r="4" spans="1:15" x14ac:dyDescent="0.4">
      <c r="A4" t="s">
        <v>256</v>
      </c>
      <c r="B4" t="s">
        <v>257</v>
      </c>
      <c r="C4" s="27" t="s">
        <v>258</v>
      </c>
      <c r="D4" s="77" t="s">
        <v>259</v>
      </c>
      <c r="E4" t="s">
        <v>260</v>
      </c>
      <c r="F4" t="s">
        <v>261</v>
      </c>
      <c r="G4" s="77" t="s">
        <v>262</v>
      </c>
      <c r="H4" s="27" t="s">
        <v>263</v>
      </c>
      <c r="L4" s="67" t="s">
        <v>259</v>
      </c>
      <c r="M4" s="71" t="s">
        <v>129</v>
      </c>
      <c r="N4" s="71" t="s">
        <v>180</v>
      </c>
      <c r="O4" s="71" t="s">
        <v>181</v>
      </c>
    </row>
    <row r="5" spans="1:15" x14ac:dyDescent="0.4">
      <c r="A5" t="s">
        <v>264</v>
      </c>
      <c r="B5">
        <v>75</v>
      </c>
      <c r="C5" s="27" t="s">
        <v>265</v>
      </c>
      <c r="D5" s="77" t="s">
        <v>246</v>
      </c>
      <c r="E5" t="s">
        <v>266</v>
      </c>
      <c r="F5" t="s">
        <v>267</v>
      </c>
      <c r="G5" s="78">
        <v>87.32</v>
      </c>
      <c r="H5">
        <v>0.5</v>
      </c>
      <c r="L5" s="1" t="s">
        <v>244</v>
      </c>
      <c r="M5" s="76">
        <f>AVERAGEIF($D:$D,$L5,$G:$G)</f>
        <v>25.5395</v>
      </c>
      <c r="N5" s="76">
        <f>_xlfn.MINIFS($G:$G,$D:$D,$L5)</f>
        <v>15</v>
      </c>
      <c r="O5" s="76">
        <f>_xlfn.MAXIFS($G:$G,$D:$D,$L5)</f>
        <v>65</v>
      </c>
    </row>
    <row r="6" spans="1:15" x14ac:dyDescent="0.4">
      <c r="A6" t="s">
        <v>269</v>
      </c>
      <c r="B6">
        <v>24</v>
      </c>
      <c r="C6" s="27" t="s">
        <v>270</v>
      </c>
      <c r="D6" s="77" t="s">
        <v>244</v>
      </c>
      <c r="E6" t="s">
        <v>266</v>
      </c>
      <c r="F6" t="s">
        <v>271</v>
      </c>
      <c r="G6" s="78">
        <v>17.62</v>
      </c>
      <c r="H6" t="s">
        <v>268</v>
      </c>
      <c r="L6" s="1" t="s">
        <v>275</v>
      </c>
      <c r="M6" s="76">
        <f t="shared" ref="M6:M7" si="0">AVERAGEIF($D:$D,$L6,$G:$G)</f>
        <v>33.253846153846148</v>
      </c>
      <c r="N6" s="76">
        <f t="shared" ref="N6:N7" si="1">_xlfn.MINIFS($G:$G,$D:$D,$L6)</f>
        <v>14.5</v>
      </c>
      <c r="O6" s="76">
        <f t="shared" ref="O6:O7" si="2">_xlfn.MAXIFS($G:$G,$D:$D,$L6)</f>
        <v>85</v>
      </c>
    </row>
    <row r="7" spans="1:15" x14ac:dyDescent="0.4">
      <c r="A7" t="s">
        <v>272</v>
      </c>
      <c r="B7">
        <v>32</v>
      </c>
      <c r="C7" s="27" t="s">
        <v>265</v>
      </c>
      <c r="D7" s="77" t="s">
        <v>244</v>
      </c>
      <c r="E7" t="s">
        <v>266</v>
      </c>
      <c r="F7" t="s">
        <v>273</v>
      </c>
      <c r="G7" s="78">
        <v>19.32</v>
      </c>
      <c r="H7" t="s">
        <v>268</v>
      </c>
      <c r="L7" s="1" t="s">
        <v>246</v>
      </c>
      <c r="M7" s="76">
        <f t="shared" si="0"/>
        <v>80.017200000000003</v>
      </c>
      <c r="N7" s="76">
        <f t="shared" si="1"/>
        <v>47.5</v>
      </c>
      <c r="O7" s="76">
        <f t="shared" si="2"/>
        <v>113.6</v>
      </c>
    </row>
    <row r="8" spans="1:15" x14ac:dyDescent="0.4">
      <c r="A8" t="s">
        <v>274</v>
      </c>
      <c r="B8">
        <v>32</v>
      </c>
      <c r="C8" s="27" t="s">
        <v>265</v>
      </c>
      <c r="D8" s="77" t="s">
        <v>275</v>
      </c>
      <c r="E8" t="s">
        <v>266</v>
      </c>
      <c r="F8" t="s">
        <v>276</v>
      </c>
      <c r="G8" s="78">
        <v>22.2</v>
      </c>
      <c r="H8" t="s">
        <v>268</v>
      </c>
    </row>
    <row r="9" spans="1:15" x14ac:dyDescent="0.4">
      <c r="A9" t="s">
        <v>277</v>
      </c>
      <c r="B9">
        <v>75</v>
      </c>
      <c r="C9" s="27" t="s">
        <v>265</v>
      </c>
      <c r="D9" s="77" t="s">
        <v>246</v>
      </c>
      <c r="E9" t="s">
        <v>266</v>
      </c>
      <c r="F9" t="s">
        <v>278</v>
      </c>
      <c r="G9" s="78">
        <v>113.6</v>
      </c>
      <c r="H9" t="s">
        <v>268</v>
      </c>
    </row>
    <row r="10" spans="1:15" x14ac:dyDescent="0.4">
      <c r="A10" t="s">
        <v>279</v>
      </c>
      <c r="B10">
        <v>24</v>
      </c>
      <c r="C10" s="27" t="s">
        <v>265</v>
      </c>
      <c r="D10" s="77" t="s">
        <v>244</v>
      </c>
      <c r="E10" t="s">
        <v>266</v>
      </c>
      <c r="F10" t="s">
        <v>280</v>
      </c>
      <c r="G10" s="78">
        <v>19</v>
      </c>
      <c r="H10" t="s">
        <v>281</v>
      </c>
    </row>
    <row r="11" spans="1:15" x14ac:dyDescent="0.4">
      <c r="A11" t="s">
        <v>282</v>
      </c>
      <c r="B11">
        <v>50</v>
      </c>
      <c r="C11" s="27" t="s">
        <v>265</v>
      </c>
      <c r="D11" s="77" t="s">
        <v>275</v>
      </c>
      <c r="E11" t="s">
        <v>266</v>
      </c>
      <c r="F11" t="s">
        <v>283</v>
      </c>
      <c r="G11" s="78">
        <v>47.87</v>
      </c>
      <c r="H11" t="s">
        <v>268</v>
      </c>
    </row>
    <row r="12" spans="1:15" x14ac:dyDescent="0.4">
      <c r="A12" t="s">
        <v>284</v>
      </c>
      <c r="B12">
        <v>65</v>
      </c>
      <c r="C12" s="27" t="s">
        <v>265</v>
      </c>
      <c r="D12" s="77" t="s">
        <v>246</v>
      </c>
      <c r="E12" t="s">
        <v>266</v>
      </c>
      <c r="F12" t="s">
        <v>285</v>
      </c>
      <c r="G12" s="78">
        <v>72.02</v>
      </c>
      <c r="H12" t="s">
        <v>268</v>
      </c>
    </row>
    <row r="13" spans="1:15" x14ac:dyDescent="0.4">
      <c r="A13" t="s">
        <v>286</v>
      </c>
      <c r="B13">
        <v>50</v>
      </c>
      <c r="C13" s="27" t="s">
        <v>265</v>
      </c>
      <c r="D13" s="77" t="s">
        <v>246</v>
      </c>
      <c r="E13" t="s">
        <v>266</v>
      </c>
      <c r="F13" t="s">
        <v>287</v>
      </c>
      <c r="G13" s="78">
        <v>55.96</v>
      </c>
      <c r="H13" t="s">
        <v>268</v>
      </c>
    </row>
    <row r="14" spans="1:15" x14ac:dyDescent="0.4">
      <c r="A14" t="s">
        <v>288</v>
      </c>
      <c r="B14">
        <v>65</v>
      </c>
      <c r="C14" s="27" t="s">
        <v>289</v>
      </c>
      <c r="D14" s="77" t="s">
        <v>246</v>
      </c>
      <c r="E14" t="s">
        <v>266</v>
      </c>
      <c r="F14" t="s">
        <v>290</v>
      </c>
      <c r="G14" s="78">
        <v>82.3</v>
      </c>
      <c r="H14" t="s">
        <v>268</v>
      </c>
    </row>
    <row r="15" spans="1:15" x14ac:dyDescent="0.4">
      <c r="A15" t="s">
        <v>291</v>
      </c>
      <c r="B15">
        <v>32</v>
      </c>
      <c r="C15" s="27" t="s">
        <v>289</v>
      </c>
      <c r="D15" s="77" t="s">
        <v>275</v>
      </c>
      <c r="E15" t="s">
        <v>266</v>
      </c>
      <c r="F15" t="s">
        <v>292</v>
      </c>
      <c r="G15" s="78">
        <v>22.28</v>
      </c>
      <c r="H15" t="s">
        <v>268</v>
      </c>
    </row>
    <row r="16" spans="1:15" x14ac:dyDescent="0.4">
      <c r="A16" t="s">
        <v>293</v>
      </c>
      <c r="B16">
        <v>75</v>
      </c>
      <c r="C16" s="27" t="s">
        <v>265</v>
      </c>
      <c r="D16" s="77" t="s">
        <v>289</v>
      </c>
      <c r="E16" t="s">
        <v>266</v>
      </c>
      <c r="F16" t="s">
        <v>294</v>
      </c>
      <c r="G16" s="78">
        <v>117</v>
      </c>
      <c r="H16" t="s">
        <v>281</v>
      </c>
    </row>
    <row r="17" spans="1:8" x14ac:dyDescent="0.4">
      <c r="A17" t="s">
        <v>274</v>
      </c>
      <c r="B17">
        <v>32</v>
      </c>
      <c r="C17" s="27" t="s">
        <v>265</v>
      </c>
      <c r="D17" s="77" t="s">
        <v>275</v>
      </c>
      <c r="E17" t="s">
        <v>266</v>
      </c>
      <c r="F17" t="s">
        <v>295</v>
      </c>
      <c r="G17" s="78">
        <v>24.26</v>
      </c>
      <c r="H17" t="s">
        <v>268</v>
      </c>
    </row>
    <row r="18" spans="1:8" x14ac:dyDescent="0.4">
      <c r="A18" t="s">
        <v>296</v>
      </c>
      <c r="B18">
        <v>24</v>
      </c>
      <c r="C18" s="27" t="s">
        <v>265</v>
      </c>
      <c r="D18" s="77" t="s">
        <v>289</v>
      </c>
      <c r="E18" t="s">
        <v>266</v>
      </c>
      <c r="F18" t="s">
        <v>297</v>
      </c>
      <c r="G18" s="78">
        <v>20</v>
      </c>
      <c r="H18" t="s">
        <v>268</v>
      </c>
    </row>
    <row r="19" spans="1:8" x14ac:dyDescent="0.4">
      <c r="A19" t="s">
        <v>298</v>
      </c>
      <c r="B19">
        <v>50</v>
      </c>
      <c r="C19" s="27" t="s">
        <v>265</v>
      </c>
      <c r="D19" s="77" t="s">
        <v>246</v>
      </c>
      <c r="E19" t="s">
        <v>266</v>
      </c>
      <c r="F19" t="s">
        <v>299</v>
      </c>
      <c r="G19" s="78">
        <v>68</v>
      </c>
      <c r="H19" t="s">
        <v>268</v>
      </c>
    </row>
    <row r="20" spans="1:8" x14ac:dyDescent="0.4">
      <c r="A20" t="s">
        <v>300</v>
      </c>
      <c r="B20">
        <v>24</v>
      </c>
      <c r="C20" s="27" t="s">
        <v>270</v>
      </c>
      <c r="D20" s="77" t="s">
        <v>244</v>
      </c>
      <c r="E20" t="s">
        <v>266</v>
      </c>
      <c r="F20" t="s">
        <v>301</v>
      </c>
      <c r="G20" s="78">
        <v>20.04</v>
      </c>
      <c r="H20" t="s">
        <v>268</v>
      </c>
    </row>
    <row r="21" spans="1:8" x14ac:dyDescent="0.4">
      <c r="A21" t="s">
        <v>302</v>
      </c>
      <c r="B21">
        <v>65</v>
      </c>
      <c r="C21" s="27" t="s">
        <v>265</v>
      </c>
      <c r="D21" s="77" t="s">
        <v>246</v>
      </c>
      <c r="E21" t="s">
        <v>266</v>
      </c>
      <c r="F21" t="s">
        <v>303</v>
      </c>
      <c r="G21" s="78">
        <v>97</v>
      </c>
      <c r="H21" t="s">
        <v>268</v>
      </c>
    </row>
    <row r="22" spans="1:8" x14ac:dyDescent="0.4">
      <c r="A22" t="s">
        <v>304</v>
      </c>
      <c r="B22">
        <v>43</v>
      </c>
      <c r="C22" s="27" t="s">
        <v>265</v>
      </c>
      <c r="D22" s="77" t="s">
        <v>275</v>
      </c>
      <c r="E22" t="s">
        <v>266</v>
      </c>
      <c r="F22" t="s">
        <v>305</v>
      </c>
      <c r="G22" s="78">
        <v>34</v>
      </c>
      <c r="H22" t="s">
        <v>268</v>
      </c>
    </row>
    <row r="23" spans="1:8" x14ac:dyDescent="0.4">
      <c r="A23" t="s">
        <v>306</v>
      </c>
      <c r="B23">
        <v>17</v>
      </c>
      <c r="C23" s="27" t="s">
        <v>270</v>
      </c>
      <c r="D23" s="77" t="s">
        <v>289</v>
      </c>
      <c r="E23" t="s">
        <v>266</v>
      </c>
      <c r="F23" t="s">
        <v>307</v>
      </c>
      <c r="G23" s="78">
        <v>9.9600000000000009</v>
      </c>
      <c r="H23" t="s">
        <v>268</v>
      </c>
    </row>
    <row r="24" spans="1:8" x14ac:dyDescent="0.4">
      <c r="A24" t="s">
        <v>308</v>
      </c>
      <c r="B24">
        <v>58</v>
      </c>
      <c r="C24" s="27" t="s">
        <v>265</v>
      </c>
      <c r="D24" s="77" t="s">
        <v>289</v>
      </c>
      <c r="E24" t="s">
        <v>266</v>
      </c>
      <c r="F24" t="s">
        <v>309</v>
      </c>
      <c r="G24" s="78">
        <v>90</v>
      </c>
      <c r="H24" t="s">
        <v>281</v>
      </c>
    </row>
    <row r="25" spans="1:8" x14ac:dyDescent="0.4">
      <c r="A25" t="s">
        <v>310</v>
      </c>
      <c r="B25">
        <v>43</v>
      </c>
      <c r="C25" s="27" t="s">
        <v>265</v>
      </c>
      <c r="D25" s="77" t="s">
        <v>275</v>
      </c>
      <c r="E25" t="s">
        <v>266</v>
      </c>
      <c r="F25" t="s">
        <v>305</v>
      </c>
      <c r="G25" s="78">
        <v>34</v>
      </c>
      <c r="H25" t="s">
        <v>268</v>
      </c>
    </row>
    <row r="26" spans="1:8" x14ac:dyDescent="0.4">
      <c r="A26" t="s">
        <v>311</v>
      </c>
      <c r="B26">
        <v>24</v>
      </c>
      <c r="C26" s="27" t="s">
        <v>270</v>
      </c>
      <c r="D26" s="77" t="s">
        <v>244</v>
      </c>
      <c r="E26" t="s">
        <v>266</v>
      </c>
      <c r="F26" t="s">
        <v>301</v>
      </c>
      <c r="G26" s="78">
        <v>20.04</v>
      </c>
      <c r="H26" t="s">
        <v>268</v>
      </c>
    </row>
    <row r="27" spans="1:8" x14ac:dyDescent="0.4">
      <c r="A27" t="s">
        <v>312</v>
      </c>
      <c r="B27">
        <v>40</v>
      </c>
      <c r="C27" s="27" t="s">
        <v>265</v>
      </c>
      <c r="D27" s="77" t="s">
        <v>275</v>
      </c>
      <c r="E27" t="s">
        <v>266</v>
      </c>
      <c r="F27" t="s">
        <v>313</v>
      </c>
      <c r="G27" s="78">
        <v>31.14</v>
      </c>
      <c r="H27" t="s">
        <v>268</v>
      </c>
    </row>
    <row r="28" spans="1:8" x14ac:dyDescent="0.4">
      <c r="A28" t="s">
        <v>314</v>
      </c>
      <c r="B28">
        <v>50</v>
      </c>
      <c r="C28" s="27" t="s">
        <v>265</v>
      </c>
      <c r="D28" s="77" t="s">
        <v>246</v>
      </c>
      <c r="E28" t="s">
        <v>266</v>
      </c>
      <c r="F28" t="s">
        <v>315</v>
      </c>
      <c r="G28" s="78">
        <v>71.05</v>
      </c>
      <c r="H28" t="s">
        <v>268</v>
      </c>
    </row>
    <row r="29" spans="1:8" x14ac:dyDescent="0.4">
      <c r="A29" t="s">
        <v>316</v>
      </c>
      <c r="B29">
        <v>50</v>
      </c>
      <c r="C29" s="27" t="s">
        <v>265</v>
      </c>
      <c r="D29" s="77" t="s">
        <v>246</v>
      </c>
      <c r="E29" t="s">
        <v>266</v>
      </c>
      <c r="F29" t="s">
        <v>317</v>
      </c>
      <c r="G29" s="78">
        <v>72.7</v>
      </c>
      <c r="H29" t="s">
        <v>268</v>
      </c>
    </row>
    <row r="30" spans="1:8" x14ac:dyDescent="0.4">
      <c r="A30" t="s">
        <v>318</v>
      </c>
      <c r="B30">
        <v>32</v>
      </c>
      <c r="C30" s="27" t="s">
        <v>270</v>
      </c>
      <c r="D30" s="77" t="s">
        <v>244</v>
      </c>
      <c r="E30" t="s">
        <v>266</v>
      </c>
      <c r="F30" t="s">
        <v>319</v>
      </c>
      <c r="G30" s="78">
        <v>25.45</v>
      </c>
      <c r="H30" t="s">
        <v>268</v>
      </c>
    </row>
    <row r="31" spans="1:8" x14ac:dyDescent="0.4">
      <c r="A31" t="s">
        <v>320</v>
      </c>
      <c r="B31">
        <v>75</v>
      </c>
      <c r="C31" s="27" t="s">
        <v>265</v>
      </c>
      <c r="D31" s="77" t="s">
        <v>289</v>
      </c>
      <c r="E31" t="s">
        <v>266</v>
      </c>
      <c r="F31" t="s">
        <v>294</v>
      </c>
      <c r="G31" s="78">
        <v>117</v>
      </c>
      <c r="H31" t="s">
        <v>281</v>
      </c>
    </row>
    <row r="32" spans="1:8" x14ac:dyDescent="0.4">
      <c r="A32" t="s">
        <v>321</v>
      </c>
      <c r="B32">
        <v>24</v>
      </c>
      <c r="C32" s="27" t="s">
        <v>270</v>
      </c>
      <c r="D32" s="77" t="s">
        <v>244</v>
      </c>
      <c r="E32" t="s">
        <v>266</v>
      </c>
      <c r="F32" t="s">
        <v>301</v>
      </c>
      <c r="G32" s="78">
        <v>20.04</v>
      </c>
      <c r="H32" t="s">
        <v>268</v>
      </c>
    </row>
    <row r="33" spans="1:8" x14ac:dyDescent="0.4">
      <c r="A33" t="s">
        <v>322</v>
      </c>
      <c r="B33">
        <v>32</v>
      </c>
      <c r="C33" s="27" t="s">
        <v>270</v>
      </c>
      <c r="D33" s="77" t="s">
        <v>244</v>
      </c>
      <c r="E33" t="s">
        <v>266</v>
      </c>
      <c r="F33" t="s">
        <v>323</v>
      </c>
      <c r="G33" s="78">
        <v>25.5</v>
      </c>
      <c r="H33" t="s">
        <v>268</v>
      </c>
    </row>
    <row r="34" spans="1:8" x14ac:dyDescent="0.4">
      <c r="A34" t="s">
        <v>324</v>
      </c>
      <c r="B34">
        <v>55</v>
      </c>
      <c r="C34" s="27" t="s">
        <v>265</v>
      </c>
      <c r="D34" s="77" t="s">
        <v>244</v>
      </c>
      <c r="E34" t="s">
        <v>266</v>
      </c>
      <c r="F34" t="s">
        <v>325</v>
      </c>
      <c r="G34" s="78">
        <v>62.9</v>
      </c>
      <c r="H34" t="s">
        <v>268</v>
      </c>
    </row>
    <row r="35" spans="1:8" x14ac:dyDescent="0.4">
      <c r="A35" t="s">
        <v>326</v>
      </c>
      <c r="B35">
        <v>50</v>
      </c>
      <c r="C35" s="27" t="s">
        <v>265</v>
      </c>
      <c r="D35" s="77" t="s">
        <v>246</v>
      </c>
      <c r="E35" t="s">
        <v>266</v>
      </c>
      <c r="F35" t="s">
        <v>327</v>
      </c>
      <c r="G35" s="78">
        <v>73.11</v>
      </c>
      <c r="H35" t="s">
        <v>268</v>
      </c>
    </row>
    <row r="36" spans="1:8" x14ac:dyDescent="0.4">
      <c r="A36" t="s">
        <v>328</v>
      </c>
      <c r="B36">
        <v>43</v>
      </c>
      <c r="C36" s="27" t="s">
        <v>265</v>
      </c>
      <c r="D36" s="77" t="s">
        <v>275</v>
      </c>
      <c r="E36" t="s">
        <v>266</v>
      </c>
      <c r="F36" t="s">
        <v>329</v>
      </c>
      <c r="G36" s="78">
        <v>34.200000000000003</v>
      </c>
      <c r="H36" t="s">
        <v>268</v>
      </c>
    </row>
    <row r="37" spans="1:8" x14ac:dyDescent="0.4">
      <c r="A37" t="s">
        <v>330</v>
      </c>
      <c r="B37">
        <v>19</v>
      </c>
      <c r="C37" s="27" t="s">
        <v>265</v>
      </c>
      <c r="D37" s="77" t="s">
        <v>244</v>
      </c>
      <c r="E37" t="s">
        <v>266</v>
      </c>
      <c r="F37" t="s">
        <v>331</v>
      </c>
      <c r="G37" s="78">
        <v>16.899999999999999</v>
      </c>
      <c r="H37" t="s">
        <v>268</v>
      </c>
    </row>
    <row r="38" spans="1:8" x14ac:dyDescent="0.4">
      <c r="A38" t="s">
        <v>332</v>
      </c>
      <c r="B38">
        <v>65</v>
      </c>
      <c r="C38" s="27" t="s">
        <v>265</v>
      </c>
      <c r="D38" s="77" t="s">
        <v>246</v>
      </c>
      <c r="E38" t="s">
        <v>266</v>
      </c>
      <c r="F38" t="s">
        <v>333</v>
      </c>
      <c r="G38" s="78">
        <v>98.3</v>
      </c>
      <c r="H38" t="s">
        <v>268</v>
      </c>
    </row>
    <row r="39" spans="1:8" x14ac:dyDescent="0.4">
      <c r="A39" t="s">
        <v>334</v>
      </c>
      <c r="B39">
        <v>50</v>
      </c>
      <c r="C39" s="27" t="s">
        <v>265</v>
      </c>
      <c r="D39" s="77" t="s">
        <v>289</v>
      </c>
      <c r="E39" t="s">
        <v>266</v>
      </c>
      <c r="F39" t="s">
        <v>335</v>
      </c>
      <c r="G39" s="78">
        <v>74</v>
      </c>
      <c r="H39" t="s">
        <v>281</v>
      </c>
    </row>
    <row r="40" spans="1:8" x14ac:dyDescent="0.4">
      <c r="A40" t="s">
        <v>336</v>
      </c>
      <c r="B40">
        <v>50</v>
      </c>
      <c r="C40" s="27" t="s">
        <v>265</v>
      </c>
      <c r="D40" s="77" t="s">
        <v>289</v>
      </c>
      <c r="E40" t="s">
        <v>266</v>
      </c>
      <c r="F40" t="s">
        <v>335</v>
      </c>
      <c r="G40" s="78">
        <v>74</v>
      </c>
      <c r="H40" t="s">
        <v>281</v>
      </c>
    </row>
    <row r="41" spans="1:8" x14ac:dyDescent="0.4">
      <c r="A41" t="s">
        <v>337</v>
      </c>
      <c r="B41">
        <v>32</v>
      </c>
      <c r="C41" s="27" t="s">
        <v>265</v>
      </c>
      <c r="D41" s="77" t="s">
        <v>289</v>
      </c>
      <c r="E41" t="s">
        <v>266</v>
      </c>
      <c r="F41" t="s">
        <v>338</v>
      </c>
      <c r="G41" s="78">
        <v>26</v>
      </c>
      <c r="H41" t="s">
        <v>268</v>
      </c>
    </row>
    <row r="42" spans="1:8" x14ac:dyDescent="0.4">
      <c r="A42" t="s">
        <v>339</v>
      </c>
      <c r="B42">
        <v>43</v>
      </c>
      <c r="C42" s="27" t="s">
        <v>270</v>
      </c>
      <c r="D42" s="77" t="s">
        <v>275</v>
      </c>
      <c r="E42" t="s">
        <v>266</v>
      </c>
      <c r="F42" t="s">
        <v>329</v>
      </c>
      <c r="G42" s="78">
        <v>34.29</v>
      </c>
      <c r="H42" t="s">
        <v>268</v>
      </c>
    </row>
    <row r="43" spans="1:8" x14ac:dyDescent="0.4">
      <c r="A43" t="s">
        <v>340</v>
      </c>
      <c r="B43">
        <v>24</v>
      </c>
      <c r="C43" s="27" t="s">
        <v>270</v>
      </c>
      <c r="D43" s="77" t="s">
        <v>244</v>
      </c>
      <c r="E43" t="s">
        <v>266</v>
      </c>
      <c r="F43" t="s">
        <v>301</v>
      </c>
      <c r="G43" s="78">
        <v>20.04</v>
      </c>
      <c r="H43" t="s">
        <v>268</v>
      </c>
    </row>
    <row r="44" spans="1:8" x14ac:dyDescent="0.4">
      <c r="A44" t="s">
        <v>332</v>
      </c>
      <c r="B44">
        <v>65</v>
      </c>
      <c r="C44" s="27" t="s">
        <v>265</v>
      </c>
      <c r="D44" s="77" t="s">
        <v>246</v>
      </c>
      <c r="E44" t="s">
        <v>266</v>
      </c>
      <c r="F44" t="s">
        <v>341</v>
      </c>
      <c r="G44" s="78">
        <v>98.3</v>
      </c>
      <c r="H44" t="s">
        <v>268</v>
      </c>
    </row>
    <row r="45" spans="1:8" x14ac:dyDescent="0.4">
      <c r="A45" t="s">
        <v>342</v>
      </c>
      <c r="B45">
        <v>70</v>
      </c>
      <c r="C45" s="27" t="s">
        <v>265</v>
      </c>
      <c r="D45" s="77" t="s">
        <v>246</v>
      </c>
      <c r="E45" t="s">
        <v>266</v>
      </c>
      <c r="F45" t="s">
        <v>343</v>
      </c>
      <c r="G45" s="78">
        <v>109.1</v>
      </c>
      <c r="H45" t="s">
        <v>268</v>
      </c>
    </row>
    <row r="46" spans="1:8" x14ac:dyDescent="0.4">
      <c r="A46" t="s">
        <v>344</v>
      </c>
      <c r="B46">
        <v>43</v>
      </c>
      <c r="C46" s="27" t="s">
        <v>265</v>
      </c>
      <c r="D46" s="77" t="s">
        <v>275</v>
      </c>
      <c r="E46" t="s">
        <v>266</v>
      </c>
      <c r="F46" t="s">
        <v>345</v>
      </c>
      <c r="G46" s="78">
        <v>35</v>
      </c>
      <c r="H46" t="s">
        <v>268</v>
      </c>
    </row>
    <row r="47" spans="1:8" x14ac:dyDescent="0.4">
      <c r="A47" t="s">
        <v>346</v>
      </c>
      <c r="B47">
        <v>75</v>
      </c>
      <c r="C47" s="27" t="s">
        <v>265</v>
      </c>
      <c r="D47" s="77" t="s">
        <v>289</v>
      </c>
      <c r="E47" t="s">
        <v>266</v>
      </c>
      <c r="F47" t="s">
        <v>294</v>
      </c>
      <c r="G47" s="78">
        <v>117</v>
      </c>
      <c r="H47" t="s">
        <v>281</v>
      </c>
    </row>
    <row r="48" spans="1:8" x14ac:dyDescent="0.4">
      <c r="A48" t="s">
        <v>347</v>
      </c>
      <c r="B48">
        <v>55</v>
      </c>
      <c r="C48" s="27" t="s">
        <v>289</v>
      </c>
      <c r="D48" s="77" t="s">
        <v>246</v>
      </c>
      <c r="E48" t="s">
        <v>266</v>
      </c>
      <c r="F48" t="s">
        <v>348</v>
      </c>
      <c r="G48" s="78">
        <v>63.1</v>
      </c>
      <c r="H48" t="s">
        <v>268</v>
      </c>
    </row>
    <row r="49" spans="1:8" x14ac:dyDescent="0.4">
      <c r="A49" t="s">
        <v>349</v>
      </c>
      <c r="B49">
        <v>32</v>
      </c>
      <c r="C49" s="27" t="s">
        <v>265</v>
      </c>
      <c r="D49" s="77" t="s">
        <v>289</v>
      </c>
      <c r="E49" t="s">
        <v>266</v>
      </c>
      <c r="F49" t="s">
        <v>338</v>
      </c>
      <c r="G49" s="78">
        <v>26</v>
      </c>
      <c r="H49" t="s">
        <v>268</v>
      </c>
    </row>
    <row r="50" spans="1:8" x14ac:dyDescent="0.4">
      <c r="A50" t="s">
        <v>350</v>
      </c>
      <c r="B50">
        <v>75</v>
      </c>
      <c r="C50" s="27" t="s">
        <v>265</v>
      </c>
      <c r="D50" s="77" t="s">
        <v>289</v>
      </c>
      <c r="E50" t="s">
        <v>266</v>
      </c>
      <c r="F50" t="s">
        <v>294</v>
      </c>
      <c r="G50" s="78">
        <v>117</v>
      </c>
      <c r="H50" t="s">
        <v>281</v>
      </c>
    </row>
    <row r="51" spans="1:8" x14ac:dyDescent="0.4">
      <c r="A51" t="s">
        <v>351</v>
      </c>
      <c r="B51">
        <v>24</v>
      </c>
      <c r="C51" s="27" t="s">
        <v>289</v>
      </c>
      <c r="D51" s="77" t="s">
        <v>244</v>
      </c>
      <c r="E51" t="s">
        <v>266</v>
      </c>
      <c r="F51" t="s">
        <v>352</v>
      </c>
      <c r="G51" s="78">
        <v>20.350000000000001</v>
      </c>
      <c r="H51" t="s">
        <v>268</v>
      </c>
    </row>
    <row r="52" spans="1:8" x14ac:dyDescent="0.4">
      <c r="A52" t="s">
        <v>353</v>
      </c>
      <c r="B52">
        <v>50</v>
      </c>
      <c r="C52" s="27" t="s">
        <v>265</v>
      </c>
      <c r="D52" s="77" t="s">
        <v>289</v>
      </c>
      <c r="E52" t="s">
        <v>266</v>
      </c>
      <c r="F52" t="s">
        <v>335</v>
      </c>
      <c r="G52" s="78">
        <v>74</v>
      </c>
      <c r="H52" t="s">
        <v>281</v>
      </c>
    </row>
    <row r="53" spans="1:8" x14ac:dyDescent="0.4">
      <c r="A53" t="s">
        <v>354</v>
      </c>
      <c r="B53">
        <v>65</v>
      </c>
      <c r="C53" s="27" t="s">
        <v>265</v>
      </c>
      <c r="D53" s="77" t="s">
        <v>246</v>
      </c>
      <c r="E53" t="s">
        <v>266</v>
      </c>
      <c r="F53" t="s">
        <v>355</v>
      </c>
      <c r="G53" s="78">
        <v>100.2</v>
      </c>
      <c r="H53" t="s">
        <v>268</v>
      </c>
    </row>
    <row r="54" spans="1:8" x14ac:dyDescent="0.4">
      <c r="A54" t="s">
        <v>356</v>
      </c>
      <c r="B54">
        <v>65</v>
      </c>
      <c r="C54" s="27" t="s">
        <v>265</v>
      </c>
      <c r="D54" s="77" t="s">
        <v>289</v>
      </c>
      <c r="E54" t="s">
        <v>266</v>
      </c>
      <c r="F54" t="s">
        <v>357</v>
      </c>
      <c r="G54" s="78">
        <v>101</v>
      </c>
      <c r="H54" t="s">
        <v>281</v>
      </c>
    </row>
    <row r="55" spans="1:8" x14ac:dyDescent="0.4">
      <c r="A55" t="s">
        <v>358</v>
      </c>
      <c r="B55">
        <v>50</v>
      </c>
      <c r="C55" s="27" t="s">
        <v>265</v>
      </c>
      <c r="D55" s="77" t="s">
        <v>289</v>
      </c>
      <c r="E55" t="s">
        <v>266</v>
      </c>
      <c r="F55" t="s">
        <v>335</v>
      </c>
      <c r="G55" s="78">
        <v>74</v>
      </c>
      <c r="H55" t="s">
        <v>281</v>
      </c>
    </row>
    <row r="56" spans="1:8" x14ac:dyDescent="0.4">
      <c r="A56" t="s">
        <v>359</v>
      </c>
      <c r="B56">
        <v>75</v>
      </c>
      <c r="C56" s="27" t="s">
        <v>265</v>
      </c>
      <c r="D56" s="77" t="s">
        <v>289</v>
      </c>
      <c r="E56" t="s">
        <v>266</v>
      </c>
      <c r="F56" t="s">
        <v>294</v>
      </c>
      <c r="G56" s="78">
        <v>117</v>
      </c>
      <c r="H56" t="s">
        <v>281</v>
      </c>
    </row>
    <row r="57" spans="1:8" x14ac:dyDescent="0.4">
      <c r="A57" t="s">
        <v>360</v>
      </c>
      <c r="B57">
        <v>55</v>
      </c>
      <c r="C57" s="27" t="s">
        <v>265</v>
      </c>
      <c r="D57" s="77" t="s">
        <v>246</v>
      </c>
      <c r="E57" t="s">
        <v>266</v>
      </c>
      <c r="F57" t="s">
        <v>361</v>
      </c>
      <c r="G57" s="78">
        <v>80</v>
      </c>
      <c r="H57" t="s">
        <v>268</v>
      </c>
    </row>
    <row r="58" spans="1:8" x14ac:dyDescent="0.4">
      <c r="A58" t="s">
        <v>362</v>
      </c>
      <c r="B58">
        <v>40</v>
      </c>
      <c r="C58" s="27" t="s">
        <v>265</v>
      </c>
      <c r="D58" s="77" t="s">
        <v>275</v>
      </c>
      <c r="E58" t="s">
        <v>266</v>
      </c>
      <c r="F58" t="s">
        <v>313</v>
      </c>
      <c r="G58" s="78">
        <v>31.14</v>
      </c>
      <c r="H58" t="s">
        <v>268</v>
      </c>
    </row>
    <row r="59" spans="1:8" x14ac:dyDescent="0.4">
      <c r="A59" t="s">
        <v>363</v>
      </c>
      <c r="B59">
        <v>75</v>
      </c>
      <c r="C59" s="27" t="s">
        <v>265</v>
      </c>
      <c r="D59" s="77" t="s">
        <v>289</v>
      </c>
      <c r="E59" t="s">
        <v>266</v>
      </c>
      <c r="F59" t="s">
        <v>294</v>
      </c>
      <c r="G59" s="78">
        <v>117</v>
      </c>
      <c r="H59" t="s">
        <v>281</v>
      </c>
    </row>
    <row r="60" spans="1:8" x14ac:dyDescent="0.4">
      <c r="A60" t="s">
        <v>364</v>
      </c>
      <c r="B60">
        <v>19</v>
      </c>
      <c r="C60" s="27" t="s">
        <v>265</v>
      </c>
      <c r="D60" s="77" t="s">
        <v>244</v>
      </c>
      <c r="E60" t="s">
        <v>266</v>
      </c>
      <c r="F60" t="s">
        <v>365</v>
      </c>
      <c r="G60" s="78">
        <v>17.23</v>
      </c>
      <c r="H60" t="s">
        <v>268</v>
      </c>
    </row>
    <row r="61" spans="1:8" x14ac:dyDescent="0.4">
      <c r="A61" t="s">
        <v>366</v>
      </c>
      <c r="B61">
        <v>55</v>
      </c>
      <c r="C61" s="27" t="s">
        <v>265</v>
      </c>
      <c r="D61" s="77" t="s">
        <v>246</v>
      </c>
      <c r="E61" t="s">
        <v>266</v>
      </c>
      <c r="F61" t="s">
        <v>367</v>
      </c>
      <c r="G61" s="78">
        <v>80.900000000000006</v>
      </c>
      <c r="H61" t="s">
        <v>281</v>
      </c>
    </row>
    <row r="62" spans="1:8" x14ac:dyDescent="0.4">
      <c r="A62" t="s">
        <v>368</v>
      </c>
      <c r="B62">
        <v>50</v>
      </c>
      <c r="C62" s="27" t="s">
        <v>265</v>
      </c>
      <c r="D62" s="77" t="s">
        <v>289</v>
      </c>
      <c r="E62" t="s">
        <v>266</v>
      </c>
      <c r="F62" t="s">
        <v>335</v>
      </c>
      <c r="G62" s="78">
        <v>74</v>
      </c>
      <c r="H62" t="s">
        <v>281</v>
      </c>
    </row>
    <row r="63" spans="1:8" x14ac:dyDescent="0.4">
      <c r="A63" t="s">
        <v>369</v>
      </c>
      <c r="B63">
        <v>75</v>
      </c>
      <c r="C63" s="27" t="s">
        <v>265</v>
      </c>
      <c r="D63" s="77" t="s">
        <v>289</v>
      </c>
      <c r="E63" t="s">
        <v>266</v>
      </c>
      <c r="F63" t="s">
        <v>294</v>
      </c>
      <c r="G63" s="78">
        <v>117</v>
      </c>
      <c r="H63" t="s">
        <v>281</v>
      </c>
    </row>
    <row r="64" spans="1:8" x14ac:dyDescent="0.4">
      <c r="A64" t="s">
        <v>274</v>
      </c>
      <c r="B64">
        <v>32</v>
      </c>
      <c r="C64" s="27" t="s">
        <v>265</v>
      </c>
      <c r="D64" s="77" t="s">
        <v>275</v>
      </c>
      <c r="E64" t="s">
        <v>266</v>
      </c>
      <c r="F64" t="s">
        <v>370</v>
      </c>
      <c r="G64" s="78">
        <v>26</v>
      </c>
      <c r="H64" t="s">
        <v>268</v>
      </c>
    </row>
    <row r="65" spans="1:8" x14ac:dyDescent="0.4">
      <c r="A65" t="s">
        <v>371</v>
      </c>
      <c r="B65">
        <v>32</v>
      </c>
      <c r="C65" s="27" t="s">
        <v>265</v>
      </c>
      <c r="D65" s="77" t="s">
        <v>289</v>
      </c>
      <c r="E65" t="s">
        <v>266</v>
      </c>
      <c r="F65" t="s">
        <v>372</v>
      </c>
      <c r="G65" s="78">
        <v>26.5</v>
      </c>
      <c r="H65" t="s">
        <v>268</v>
      </c>
    </row>
    <row r="66" spans="1:8" x14ac:dyDescent="0.4">
      <c r="A66" t="s">
        <v>328</v>
      </c>
      <c r="B66">
        <v>43</v>
      </c>
      <c r="C66" s="27" t="s">
        <v>265</v>
      </c>
      <c r="D66" s="77" t="s">
        <v>275</v>
      </c>
      <c r="E66" t="s">
        <v>266</v>
      </c>
      <c r="F66" t="s">
        <v>373</v>
      </c>
      <c r="G66" s="78">
        <v>37.72</v>
      </c>
      <c r="H66" t="s">
        <v>268</v>
      </c>
    </row>
    <row r="67" spans="1:8" x14ac:dyDescent="0.4">
      <c r="A67" t="s">
        <v>374</v>
      </c>
      <c r="B67">
        <v>75</v>
      </c>
      <c r="C67" s="27" t="s">
        <v>265</v>
      </c>
      <c r="D67" s="77" t="s">
        <v>289</v>
      </c>
      <c r="E67" t="s">
        <v>266</v>
      </c>
      <c r="F67" t="s">
        <v>294</v>
      </c>
      <c r="G67" s="78">
        <v>117</v>
      </c>
      <c r="H67" t="s">
        <v>281</v>
      </c>
    </row>
    <row r="68" spans="1:8" x14ac:dyDescent="0.4">
      <c r="A68" t="s">
        <v>375</v>
      </c>
      <c r="B68">
        <v>32</v>
      </c>
      <c r="C68" s="27" t="s">
        <v>265</v>
      </c>
      <c r="D68" s="77" t="s">
        <v>244</v>
      </c>
      <c r="E68" t="s">
        <v>266</v>
      </c>
      <c r="F68" t="s">
        <v>376</v>
      </c>
      <c r="G68" s="78">
        <v>27</v>
      </c>
      <c r="H68" t="s">
        <v>268</v>
      </c>
    </row>
    <row r="69" spans="1:8" x14ac:dyDescent="0.4">
      <c r="A69" t="s">
        <v>377</v>
      </c>
      <c r="B69">
        <v>16</v>
      </c>
      <c r="C69" s="27" t="s">
        <v>265</v>
      </c>
      <c r="D69" s="77" t="s">
        <v>275</v>
      </c>
      <c r="E69" t="s">
        <v>266</v>
      </c>
      <c r="F69" t="s">
        <v>372</v>
      </c>
      <c r="G69" s="78">
        <v>14.5</v>
      </c>
      <c r="H69" t="s">
        <v>268</v>
      </c>
    </row>
    <row r="70" spans="1:8" x14ac:dyDescent="0.4">
      <c r="A70" t="s">
        <v>378</v>
      </c>
      <c r="B70">
        <v>32</v>
      </c>
      <c r="C70" s="27" t="s">
        <v>265</v>
      </c>
      <c r="D70" s="77" t="s">
        <v>275</v>
      </c>
      <c r="E70" t="s">
        <v>266</v>
      </c>
      <c r="F70" t="s">
        <v>379</v>
      </c>
      <c r="G70" s="78">
        <v>27.8</v>
      </c>
      <c r="H70" t="s">
        <v>268</v>
      </c>
    </row>
    <row r="71" spans="1:8" x14ac:dyDescent="0.4">
      <c r="A71" t="s">
        <v>380</v>
      </c>
      <c r="B71">
        <v>58</v>
      </c>
      <c r="C71" s="27" t="s">
        <v>265</v>
      </c>
      <c r="D71" s="77" t="s">
        <v>246</v>
      </c>
      <c r="E71" t="s">
        <v>266</v>
      </c>
      <c r="F71" t="s">
        <v>381</v>
      </c>
      <c r="G71" s="78">
        <v>76.819999999999993</v>
      </c>
      <c r="H71" t="s">
        <v>268</v>
      </c>
    </row>
    <row r="72" spans="1:8" x14ac:dyDescent="0.4">
      <c r="A72" t="s">
        <v>382</v>
      </c>
      <c r="B72">
        <v>50</v>
      </c>
      <c r="C72" s="27" t="s">
        <v>265</v>
      </c>
      <c r="D72" s="77" t="s">
        <v>289</v>
      </c>
      <c r="E72" t="s">
        <v>266</v>
      </c>
      <c r="F72" t="s">
        <v>335</v>
      </c>
      <c r="G72" s="78">
        <v>74</v>
      </c>
      <c r="H72" t="s">
        <v>281</v>
      </c>
    </row>
    <row r="73" spans="1:8" x14ac:dyDescent="0.4">
      <c r="A73" t="s">
        <v>383</v>
      </c>
      <c r="B73">
        <v>40</v>
      </c>
      <c r="C73" s="27" t="s">
        <v>265</v>
      </c>
      <c r="D73" s="77" t="s">
        <v>275</v>
      </c>
      <c r="E73" t="s">
        <v>266</v>
      </c>
      <c r="F73" t="s">
        <v>384</v>
      </c>
      <c r="G73" s="78">
        <v>33</v>
      </c>
      <c r="H73" t="s">
        <v>268</v>
      </c>
    </row>
    <row r="74" spans="1:8" x14ac:dyDescent="0.4">
      <c r="A74" t="s">
        <v>385</v>
      </c>
      <c r="B74">
        <v>24</v>
      </c>
      <c r="C74" s="27" t="s">
        <v>265</v>
      </c>
      <c r="D74" s="77" t="s">
        <v>244</v>
      </c>
      <c r="E74" t="s">
        <v>266</v>
      </c>
      <c r="F74" t="s">
        <v>386</v>
      </c>
      <c r="G74" s="78">
        <v>20.77</v>
      </c>
      <c r="H74" t="s">
        <v>268</v>
      </c>
    </row>
    <row r="75" spans="1:8" x14ac:dyDescent="0.4">
      <c r="A75" t="s">
        <v>387</v>
      </c>
      <c r="B75">
        <v>27</v>
      </c>
      <c r="C75" s="27" t="s">
        <v>265</v>
      </c>
      <c r="D75" s="77" t="s">
        <v>275</v>
      </c>
      <c r="E75" t="s">
        <v>266</v>
      </c>
      <c r="F75" t="s">
        <v>370</v>
      </c>
      <c r="G75" s="78">
        <v>27.6</v>
      </c>
      <c r="H75" t="s">
        <v>268</v>
      </c>
    </row>
    <row r="76" spans="1:8" x14ac:dyDescent="0.4">
      <c r="A76" t="s">
        <v>388</v>
      </c>
      <c r="B76">
        <v>43</v>
      </c>
      <c r="C76" s="27" t="s">
        <v>265</v>
      </c>
      <c r="D76" s="77" t="s">
        <v>275</v>
      </c>
      <c r="E76" t="s">
        <v>266</v>
      </c>
      <c r="F76" t="s">
        <v>389</v>
      </c>
      <c r="G76" s="78">
        <v>38.299999999999997</v>
      </c>
      <c r="H76" t="s">
        <v>268</v>
      </c>
    </row>
    <row r="77" spans="1:8" x14ac:dyDescent="0.4">
      <c r="A77" t="s">
        <v>390</v>
      </c>
      <c r="B77">
        <v>65</v>
      </c>
      <c r="C77" s="27" t="s">
        <v>265</v>
      </c>
      <c r="D77" s="77" t="s">
        <v>289</v>
      </c>
      <c r="E77" t="s">
        <v>266</v>
      </c>
      <c r="F77" t="s">
        <v>341</v>
      </c>
      <c r="G77" s="78">
        <v>101</v>
      </c>
      <c r="H77" t="s">
        <v>281</v>
      </c>
    </row>
    <row r="78" spans="1:8" x14ac:dyDescent="0.4">
      <c r="A78" t="s">
        <v>391</v>
      </c>
      <c r="B78">
        <v>50</v>
      </c>
      <c r="C78" s="27" t="s">
        <v>265</v>
      </c>
      <c r="D78" s="77" t="s">
        <v>289</v>
      </c>
      <c r="E78" t="s">
        <v>266</v>
      </c>
      <c r="F78" t="s">
        <v>335</v>
      </c>
      <c r="G78" s="78">
        <v>74</v>
      </c>
      <c r="H78" t="s">
        <v>281</v>
      </c>
    </row>
    <row r="79" spans="1:8" x14ac:dyDescent="0.4">
      <c r="A79" t="s">
        <v>392</v>
      </c>
      <c r="B79">
        <v>50</v>
      </c>
      <c r="C79" s="27" t="s">
        <v>265</v>
      </c>
      <c r="D79" s="77" t="s">
        <v>289</v>
      </c>
      <c r="E79" t="s">
        <v>266</v>
      </c>
      <c r="F79" t="s">
        <v>335</v>
      </c>
      <c r="G79" s="78">
        <v>74</v>
      </c>
      <c r="H79" t="s">
        <v>281</v>
      </c>
    </row>
    <row r="80" spans="1:8" x14ac:dyDescent="0.4">
      <c r="A80" t="s">
        <v>393</v>
      </c>
      <c r="B80">
        <v>22</v>
      </c>
      <c r="C80" s="27" t="s">
        <v>265</v>
      </c>
      <c r="D80" s="77" t="s">
        <v>275</v>
      </c>
      <c r="E80" t="s">
        <v>266</v>
      </c>
      <c r="F80" t="s">
        <v>301</v>
      </c>
      <c r="G80" s="78">
        <v>19</v>
      </c>
      <c r="H80" t="s">
        <v>268</v>
      </c>
    </row>
    <row r="81" spans="1:8" x14ac:dyDescent="0.4">
      <c r="A81" t="s">
        <v>394</v>
      </c>
      <c r="B81">
        <v>50</v>
      </c>
      <c r="C81" s="27" t="s">
        <v>265</v>
      </c>
      <c r="D81" s="77" t="s">
        <v>289</v>
      </c>
      <c r="E81" t="s">
        <v>266</v>
      </c>
      <c r="F81" t="s">
        <v>335</v>
      </c>
      <c r="G81" s="78">
        <v>74</v>
      </c>
      <c r="H81" t="s">
        <v>281</v>
      </c>
    </row>
    <row r="82" spans="1:8" x14ac:dyDescent="0.4">
      <c r="A82" t="s">
        <v>395</v>
      </c>
      <c r="B82">
        <v>43</v>
      </c>
      <c r="C82" s="27" t="s">
        <v>289</v>
      </c>
      <c r="D82" s="77" t="s">
        <v>246</v>
      </c>
      <c r="E82" t="s">
        <v>266</v>
      </c>
      <c r="F82" t="s">
        <v>396</v>
      </c>
      <c r="G82" s="78">
        <v>47.5</v>
      </c>
      <c r="H82" t="s">
        <v>268</v>
      </c>
    </row>
    <row r="83" spans="1:8" x14ac:dyDescent="0.4">
      <c r="A83" t="s">
        <v>397</v>
      </c>
      <c r="B83">
        <v>32</v>
      </c>
      <c r="C83" s="27" t="s">
        <v>265</v>
      </c>
      <c r="D83" s="77" t="s">
        <v>275</v>
      </c>
      <c r="E83" t="s">
        <v>266</v>
      </c>
      <c r="F83" t="s">
        <v>398</v>
      </c>
      <c r="G83" s="78">
        <v>27.92</v>
      </c>
      <c r="H83" t="s">
        <v>268</v>
      </c>
    </row>
    <row r="84" spans="1:8" x14ac:dyDescent="0.4">
      <c r="A84" t="s">
        <v>399</v>
      </c>
      <c r="B84">
        <v>50</v>
      </c>
      <c r="C84" s="27" t="s">
        <v>265</v>
      </c>
      <c r="D84" s="77" t="s">
        <v>289</v>
      </c>
      <c r="E84" t="s">
        <v>266</v>
      </c>
      <c r="F84" t="s">
        <v>335</v>
      </c>
      <c r="G84" s="78">
        <v>74</v>
      </c>
      <c r="H84" t="s">
        <v>281</v>
      </c>
    </row>
    <row r="85" spans="1:8" x14ac:dyDescent="0.4">
      <c r="A85" t="s">
        <v>400</v>
      </c>
      <c r="B85">
        <v>49</v>
      </c>
      <c r="C85" s="27" t="s">
        <v>289</v>
      </c>
      <c r="D85" s="77" t="s">
        <v>246</v>
      </c>
      <c r="E85" t="s">
        <v>266</v>
      </c>
      <c r="F85" t="s">
        <v>401</v>
      </c>
      <c r="G85" s="78">
        <v>66.760000000000005</v>
      </c>
      <c r="H85" t="s">
        <v>268</v>
      </c>
    </row>
    <row r="86" spans="1:8" x14ac:dyDescent="0.4">
      <c r="A86" t="s">
        <v>402</v>
      </c>
      <c r="B86">
        <v>40</v>
      </c>
      <c r="C86" s="27" t="s">
        <v>265</v>
      </c>
      <c r="D86" s="77" t="s">
        <v>275</v>
      </c>
      <c r="E86" t="s">
        <v>266</v>
      </c>
      <c r="F86" t="s">
        <v>403</v>
      </c>
      <c r="G86" s="78">
        <v>33.840000000000003</v>
      </c>
      <c r="H86" t="s">
        <v>268</v>
      </c>
    </row>
    <row r="87" spans="1:8" x14ac:dyDescent="0.4">
      <c r="A87" t="s">
        <v>371</v>
      </c>
      <c r="B87">
        <v>32</v>
      </c>
      <c r="C87" s="27" t="s">
        <v>265</v>
      </c>
      <c r="D87" s="77" t="s">
        <v>244</v>
      </c>
      <c r="E87" t="s">
        <v>266</v>
      </c>
      <c r="F87" t="s">
        <v>404</v>
      </c>
      <c r="G87" s="78">
        <v>28</v>
      </c>
      <c r="H87" t="s">
        <v>268</v>
      </c>
    </row>
    <row r="88" spans="1:8" x14ac:dyDescent="0.4">
      <c r="A88" t="s">
        <v>405</v>
      </c>
      <c r="B88">
        <v>40</v>
      </c>
      <c r="C88" s="27" t="s">
        <v>265</v>
      </c>
      <c r="D88" s="77" t="s">
        <v>275</v>
      </c>
      <c r="E88" t="s">
        <v>266</v>
      </c>
      <c r="F88" t="s">
        <v>345</v>
      </c>
      <c r="G88" s="78">
        <v>35</v>
      </c>
      <c r="H88" t="s">
        <v>268</v>
      </c>
    </row>
    <row r="89" spans="1:8" x14ac:dyDescent="0.4">
      <c r="A89" t="s">
        <v>406</v>
      </c>
      <c r="B89">
        <v>43</v>
      </c>
      <c r="C89" s="27" t="s">
        <v>265</v>
      </c>
      <c r="D89" s="77" t="s">
        <v>246</v>
      </c>
      <c r="E89" t="s">
        <v>266</v>
      </c>
      <c r="F89" t="s">
        <v>407</v>
      </c>
      <c r="G89" s="78">
        <v>58.72</v>
      </c>
      <c r="H89" t="s">
        <v>268</v>
      </c>
    </row>
    <row r="90" spans="1:8" x14ac:dyDescent="0.4">
      <c r="A90" t="s">
        <v>408</v>
      </c>
      <c r="B90">
        <v>55</v>
      </c>
      <c r="C90" s="27" t="s">
        <v>265</v>
      </c>
      <c r="D90" s="77" t="s">
        <v>246</v>
      </c>
      <c r="E90" t="s">
        <v>266</v>
      </c>
      <c r="F90" t="s">
        <v>409</v>
      </c>
      <c r="G90" s="78">
        <v>81.13</v>
      </c>
      <c r="H90" t="s">
        <v>268</v>
      </c>
    </row>
    <row r="91" spans="1:8" x14ac:dyDescent="0.4">
      <c r="A91" t="s">
        <v>410</v>
      </c>
      <c r="B91">
        <v>40</v>
      </c>
      <c r="C91" s="27" t="s">
        <v>265</v>
      </c>
      <c r="D91" s="77" t="s">
        <v>275</v>
      </c>
      <c r="E91" t="s">
        <v>266</v>
      </c>
      <c r="F91" t="s">
        <v>411</v>
      </c>
      <c r="G91" s="78">
        <v>35.92</v>
      </c>
      <c r="H91" t="s">
        <v>268</v>
      </c>
    </row>
    <row r="92" spans="1:8" x14ac:dyDescent="0.4">
      <c r="A92" t="s">
        <v>412</v>
      </c>
      <c r="B92">
        <v>58</v>
      </c>
      <c r="C92" s="27" t="s">
        <v>265</v>
      </c>
      <c r="D92" s="77" t="s">
        <v>289</v>
      </c>
      <c r="E92" t="s">
        <v>266</v>
      </c>
      <c r="F92" t="s">
        <v>309</v>
      </c>
      <c r="G92" s="78">
        <v>90</v>
      </c>
      <c r="H92" t="s">
        <v>281</v>
      </c>
    </row>
    <row r="93" spans="1:8" x14ac:dyDescent="0.4">
      <c r="A93" t="s">
        <v>413</v>
      </c>
      <c r="B93">
        <v>65</v>
      </c>
      <c r="C93" s="27" t="s">
        <v>265</v>
      </c>
      <c r="D93" s="77" t="s">
        <v>246</v>
      </c>
      <c r="E93" t="s">
        <v>266</v>
      </c>
      <c r="F93" t="s">
        <v>414</v>
      </c>
      <c r="G93" s="78">
        <v>102</v>
      </c>
      <c r="H93" t="s">
        <v>268</v>
      </c>
    </row>
    <row r="94" spans="1:8" x14ac:dyDescent="0.4">
      <c r="A94" t="s">
        <v>415</v>
      </c>
      <c r="B94">
        <v>32</v>
      </c>
      <c r="C94" s="27" t="s">
        <v>265</v>
      </c>
      <c r="D94" s="77" t="s">
        <v>289</v>
      </c>
      <c r="E94" t="s">
        <v>266</v>
      </c>
      <c r="F94" t="s">
        <v>416</v>
      </c>
      <c r="G94" s="78">
        <v>28.62</v>
      </c>
      <c r="H94" t="s">
        <v>281</v>
      </c>
    </row>
    <row r="95" spans="1:8" x14ac:dyDescent="0.4">
      <c r="A95" t="s">
        <v>417</v>
      </c>
      <c r="B95">
        <v>55</v>
      </c>
      <c r="C95" s="27" t="s">
        <v>265</v>
      </c>
      <c r="D95" s="77" t="s">
        <v>289</v>
      </c>
      <c r="E95" t="s">
        <v>266</v>
      </c>
      <c r="F95" t="s">
        <v>418</v>
      </c>
      <c r="G95" s="78">
        <v>82</v>
      </c>
      <c r="H95" t="s">
        <v>281</v>
      </c>
    </row>
    <row r="96" spans="1:8" x14ac:dyDescent="0.4">
      <c r="A96" t="s">
        <v>419</v>
      </c>
      <c r="B96">
        <v>75</v>
      </c>
      <c r="C96" s="27" t="s">
        <v>265</v>
      </c>
      <c r="D96" s="77" t="s">
        <v>289</v>
      </c>
      <c r="E96" t="s">
        <v>266</v>
      </c>
      <c r="F96" t="s">
        <v>294</v>
      </c>
      <c r="G96" s="78">
        <v>117</v>
      </c>
      <c r="H96" t="s">
        <v>281</v>
      </c>
    </row>
    <row r="97" spans="1:8" x14ac:dyDescent="0.4">
      <c r="A97" t="s">
        <v>420</v>
      </c>
      <c r="B97">
        <v>39</v>
      </c>
      <c r="C97" s="27" t="s">
        <v>265</v>
      </c>
      <c r="D97" s="77" t="s">
        <v>244</v>
      </c>
      <c r="E97" t="s">
        <v>266</v>
      </c>
      <c r="F97" t="s">
        <v>421</v>
      </c>
      <c r="G97" s="78">
        <v>33.69</v>
      </c>
      <c r="H97" t="s">
        <v>268</v>
      </c>
    </row>
    <row r="98" spans="1:8" x14ac:dyDescent="0.4">
      <c r="A98" t="s">
        <v>422</v>
      </c>
      <c r="B98">
        <v>43</v>
      </c>
      <c r="C98" s="27" t="s">
        <v>265</v>
      </c>
      <c r="D98" s="77" t="s">
        <v>246</v>
      </c>
      <c r="E98" t="s">
        <v>266</v>
      </c>
      <c r="F98" t="s">
        <v>423</v>
      </c>
      <c r="G98" s="78">
        <v>60.64</v>
      </c>
      <c r="H98" t="s">
        <v>268</v>
      </c>
    </row>
    <row r="99" spans="1:8" x14ac:dyDescent="0.4">
      <c r="A99" t="s">
        <v>424</v>
      </c>
      <c r="B99">
        <v>43</v>
      </c>
      <c r="C99" s="27" t="s">
        <v>265</v>
      </c>
      <c r="D99" s="77" t="s">
        <v>289</v>
      </c>
      <c r="E99" t="s">
        <v>266</v>
      </c>
      <c r="F99" t="s">
        <v>407</v>
      </c>
      <c r="G99" s="78">
        <v>61</v>
      </c>
      <c r="H99" t="s">
        <v>281</v>
      </c>
    </row>
    <row r="100" spans="1:8" x14ac:dyDescent="0.4">
      <c r="A100" t="s">
        <v>425</v>
      </c>
      <c r="B100">
        <v>43</v>
      </c>
      <c r="C100" s="27" t="s">
        <v>265</v>
      </c>
      <c r="D100" s="77" t="s">
        <v>289</v>
      </c>
      <c r="E100" t="s">
        <v>266</v>
      </c>
      <c r="F100" t="s">
        <v>407</v>
      </c>
      <c r="G100" s="78">
        <v>61</v>
      </c>
      <c r="H100" t="s">
        <v>281</v>
      </c>
    </row>
    <row r="101" spans="1:8" x14ac:dyDescent="0.4">
      <c r="A101" t="s">
        <v>426</v>
      </c>
      <c r="B101">
        <v>75</v>
      </c>
      <c r="C101" s="27" t="s">
        <v>265</v>
      </c>
      <c r="D101" s="77" t="s">
        <v>289</v>
      </c>
      <c r="E101" t="s">
        <v>266</v>
      </c>
      <c r="F101" t="s">
        <v>294</v>
      </c>
      <c r="G101" s="78">
        <v>117</v>
      </c>
      <c r="H101" t="s">
        <v>281</v>
      </c>
    </row>
    <row r="102" spans="1:8" x14ac:dyDescent="0.4">
      <c r="A102" t="s">
        <v>328</v>
      </c>
      <c r="B102">
        <v>43</v>
      </c>
      <c r="C102" s="27" t="s">
        <v>270</v>
      </c>
      <c r="D102" s="77" t="s">
        <v>275</v>
      </c>
      <c r="E102" t="s">
        <v>266</v>
      </c>
      <c r="F102" t="s">
        <v>427</v>
      </c>
      <c r="G102" s="78">
        <v>85</v>
      </c>
      <c r="H102" t="s">
        <v>268</v>
      </c>
    </row>
    <row r="103" spans="1:8" x14ac:dyDescent="0.4">
      <c r="A103" t="s">
        <v>428</v>
      </c>
      <c r="B103">
        <v>19</v>
      </c>
      <c r="C103" s="27" t="s">
        <v>265</v>
      </c>
      <c r="D103" s="77" t="s">
        <v>244</v>
      </c>
      <c r="E103" t="s">
        <v>266</v>
      </c>
      <c r="F103" t="s">
        <v>429</v>
      </c>
      <c r="G103" s="78">
        <v>15</v>
      </c>
      <c r="H103" t="s">
        <v>268</v>
      </c>
    </row>
    <row r="104" spans="1:8" x14ac:dyDescent="0.4">
      <c r="A104" t="s">
        <v>430</v>
      </c>
      <c r="B104">
        <v>75</v>
      </c>
      <c r="C104" s="27" t="s">
        <v>265</v>
      </c>
      <c r="D104" s="77" t="s">
        <v>289</v>
      </c>
      <c r="E104" t="s">
        <v>266</v>
      </c>
      <c r="F104" t="s">
        <v>294</v>
      </c>
      <c r="G104" s="78">
        <v>117</v>
      </c>
      <c r="H104" t="s">
        <v>281</v>
      </c>
    </row>
    <row r="105" spans="1:8" x14ac:dyDescent="0.4">
      <c r="A105" t="s">
        <v>431</v>
      </c>
      <c r="B105">
        <v>55</v>
      </c>
      <c r="C105" s="27" t="s">
        <v>265</v>
      </c>
      <c r="D105" s="77" t="s">
        <v>289</v>
      </c>
      <c r="E105" t="s">
        <v>266</v>
      </c>
      <c r="F105" t="s">
        <v>418</v>
      </c>
      <c r="G105" s="78">
        <v>82</v>
      </c>
      <c r="H105" t="s">
        <v>281</v>
      </c>
    </row>
    <row r="106" spans="1:8" x14ac:dyDescent="0.4">
      <c r="A106" t="s">
        <v>432</v>
      </c>
      <c r="B106">
        <v>19</v>
      </c>
      <c r="C106" s="27" t="s">
        <v>265</v>
      </c>
      <c r="D106" s="77" t="s">
        <v>244</v>
      </c>
      <c r="E106" t="s">
        <v>266</v>
      </c>
      <c r="F106" t="s">
        <v>331</v>
      </c>
      <c r="G106" s="78">
        <v>16.899999999999999</v>
      </c>
      <c r="H106" t="s">
        <v>268</v>
      </c>
    </row>
    <row r="107" spans="1:8" x14ac:dyDescent="0.4">
      <c r="A107" t="s">
        <v>402</v>
      </c>
      <c r="B107">
        <v>40</v>
      </c>
      <c r="C107" s="27" t="s">
        <v>265</v>
      </c>
      <c r="D107" s="77" t="s">
        <v>275</v>
      </c>
      <c r="E107" t="s">
        <v>266</v>
      </c>
      <c r="F107" t="s">
        <v>411</v>
      </c>
      <c r="G107" s="78">
        <v>35.92</v>
      </c>
      <c r="H107" t="s">
        <v>268</v>
      </c>
    </row>
    <row r="108" spans="1:8" x14ac:dyDescent="0.4">
      <c r="A108" t="s">
        <v>433</v>
      </c>
      <c r="B108">
        <v>55</v>
      </c>
      <c r="C108" s="27" t="s">
        <v>265</v>
      </c>
      <c r="D108" s="77" t="s">
        <v>246</v>
      </c>
      <c r="E108" t="s">
        <v>266</v>
      </c>
      <c r="F108" t="s">
        <v>434</v>
      </c>
      <c r="G108" s="78">
        <v>83.9</v>
      </c>
      <c r="H108" t="s">
        <v>268</v>
      </c>
    </row>
    <row r="109" spans="1:8" x14ac:dyDescent="0.4">
      <c r="A109" t="s">
        <v>274</v>
      </c>
      <c r="B109">
        <v>32</v>
      </c>
      <c r="C109" s="27" t="s">
        <v>270</v>
      </c>
      <c r="D109" s="77" t="s">
        <v>244</v>
      </c>
      <c r="E109" t="s">
        <v>266</v>
      </c>
      <c r="F109" t="s">
        <v>435</v>
      </c>
      <c r="G109" s="78">
        <v>65</v>
      </c>
      <c r="H109" t="s">
        <v>268</v>
      </c>
    </row>
    <row r="110" spans="1:8" x14ac:dyDescent="0.4">
      <c r="A110" t="s">
        <v>405</v>
      </c>
      <c r="B110">
        <v>40</v>
      </c>
      <c r="C110" s="27" t="s">
        <v>265</v>
      </c>
      <c r="D110" s="77" t="s">
        <v>275</v>
      </c>
      <c r="E110" t="s">
        <v>266</v>
      </c>
      <c r="F110" t="s">
        <v>436</v>
      </c>
      <c r="G110" s="78">
        <v>36.700000000000003</v>
      </c>
      <c r="H110" t="s">
        <v>268</v>
      </c>
    </row>
  </sheetData>
  <mergeCells count="1">
    <mergeCell ref="M3:O3"/>
  </mergeCells>
  <hyperlinks>
    <hyperlink ref="A2" r:id="rId1" location=":~:text=Modern%20TVs%20use%2C%20on%20average,to%20run%20in%20the%20US. " xr:uid="{2C153333-78ED-4371-B93F-3C317B79129C}"/>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2FFD-1979-4F19-B1AC-6A0EAB71807F}">
  <dimension ref="A1:A36"/>
  <sheetViews>
    <sheetView zoomScale="85" zoomScaleNormal="85" workbookViewId="0">
      <selection activeCell="A27" sqref="A27"/>
    </sheetView>
  </sheetViews>
  <sheetFormatPr defaultRowHeight="14.6" x14ac:dyDescent="0.4"/>
  <sheetData>
    <row r="1" spans="1:1" x14ac:dyDescent="0.4">
      <c r="A1" s="23" t="s">
        <v>589</v>
      </c>
    </row>
    <row r="2" spans="1:1" x14ac:dyDescent="0.4">
      <c r="A2" t="s">
        <v>594</v>
      </c>
    </row>
    <row r="3" spans="1:1" x14ac:dyDescent="0.4">
      <c r="A3" t="s">
        <v>607</v>
      </c>
    </row>
    <row r="4" spans="1:1" x14ac:dyDescent="0.4">
      <c r="A4" t="s">
        <v>669</v>
      </c>
    </row>
    <row r="5" spans="1:1" x14ac:dyDescent="0.4">
      <c r="A5" t="s">
        <v>679</v>
      </c>
    </row>
    <row r="6" spans="1:1" x14ac:dyDescent="0.4">
      <c r="A6" t="s">
        <v>680</v>
      </c>
    </row>
    <row r="7" spans="1:1" x14ac:dyDescent="0.4">
      <c r="A7" t="s">
        <v>591</v>
      </c>
    </row>
    <row r="8" spans="1:1" x14ac:dyDescent="0.4">
      <c r="A8" t="s">
        <v>584</v>
      </c>
    </row>
    <row r="9" spans="1:1" x14ac:dyDescent="0.4">
      <c r="A9" t="s">
        <v>654</v>
      </c>
    </row>
    <row r="10" spans="1:1" x14ac:dyDescent="0.4">
      <c r="A10" t="s">
        <v>588</v>
      </c>
    </row>
    <row r="11" spans="1:1" x14ac:dyDescent="0.4">
      <c r="A11" t="s">
        <v>628</v>
      </c>
    </row>
    <row r="12" spans="1:1" x14ac:dyDescent="0.4">
      <c r="A12" s="98" t="s">
        <v>626</v>
      </c>
    </row>
    <row r="13" spans="1:1" x14ac:dyDescent="0.4">
      <c r="A13" s="2" t="s">
        <v>586</v>
      </c>
    </row>
    <row r="14" spans="1:1" x14ac:dyDescent="0.4">
      <c r="A14" t="s">
        <v>676</v>
      </c>
    </row>
    <row r="15" spans="1:1" x14ac:dyDescent="0.4">
      <c r="A15" s="98" t="s">
        <v>624</v>
      </c>
    </row>
    <row r="16" spans="1:1" x14ac:dyDescent="0.4">
      <c r="A16" t="s">
        <v>657</v>
      </c>
    </row>
    <row r="17" spans="1:1" x14ac:dyDescent="0.4">
      <c r="A17" t="s">
        <v>596</v>
      </c>
    </row>
    <row r="18" spans="1:1" x14ac:dyDescent="0.4">
      <c r="A18" t="s">
        <v>593</v>
      </c>
    </row>
    <row r="19" spans="1:1" x14ac:dyDescent="0.4">
      <c r="A19" t="s">
        <v>601</v>
      </c>
    </row>
    <row r="20" spans="1:1" x14ac:dyDescent="0.4">
      <c r="A20" t="s">
        <v>590</v>
      </c>
    </row>
    <row r="21" spans="1:1" x14ac:dyDescent="0.4">
      <c r="A21" t="s">
        <v>592</v>
      </c>
    </row>
    <row r="22" spans="1:1" x14ac:dyDescent="0.4">
      <c r="A22" t="s">
        <v>597</v>
      </c>
    </row>
    <row r="23" spans="1:1" x14ac:dyDescent="0.4">
      <c r="A23" t="s">
        <v>678</v>
      </c>
    </row>
    <row r="24" spans="1:1" x14ac:dyDescent="0.4">
      <c r="A24" t="s">
        <v>666</v>
      </c>
    </row>
    <row r="25" spans="1:1" x14ac:dyDescent="0.4">
      <c r="A25" t="s">
        <v>656</v>
      </c>
    </row>
    <row r="26" spans="1:1" x14ac:dyDescent="0.4">
      <c r="A26" t="s">
        <v>650</v>
      </c>
    </row>
    <row r="27" spans="1:1" x14ac:dyDescent="0.4">
      <c r="A27" t="s">
        <v>661</v>
      </c>
    </row>
    <row r="28" spans="1:1" x14ac:dyDescent="0.4">
      <c r="A28" t="s">
        <v>770</v>
      </c>
    </row>
    <row r="29" spans="1:1" x14ac:dyDescent="0.4">
      <c r="A29" s="98" t="s">
        <v>627</v>
      </c>
    </row>
    <row r="30" spans="1:1" x14ac:dyDescent="0.4">
      <c r="A30" t="s">
        <v>649</v>
      </c>
    </row>
    <row r="31" spans="1:1" x14ac:dyDescent="0.4">
      <c r="A31" t="s">
        <v>663</v>
      </c>
    </row>
    <row r="32" spans="1:1" x14ac:dyDescent="0.4">
      <c r="A32" s="97" t="s">
        <v>460</v>
      </c>
    </row>
    <row r="33" spans="1:1" x14ac:dyDescent="0.4">
      <c r="A33" t="s">
        <v>585</v>
      </c>
    </row>
    <row r="34" spans="1:1" x14ac:dyDescent="0.4">
      <c r="A34" t="s">
        <v>587</v>
      </c>
    </row>
    <row r="35" spans="1:1" x14ac:dyDescent="0.4">
      <c r="A35" t="s">
        <v>598</v>
      </c>
    </row>
    <row r="36" spans="1:1" x14ac:dyDescent="0.4">
      <c r="A36" t="s">
        <v>595</v>
      </c>
    </row>
  </sheetData>
  <autoFilter ref="A1:A10" xr:uid="{3B734F48-6519-4EE4-9626-7F9A31A37362}">
    <sortState ref="A2:A36">
      <sortCondition ref="A1:A10"/>
    </sortState>
  </autoFilter>
  <hyperlinks>
    <hyperlink ref="A13" r:id="rId1" display="https://energyusecalculator.com/electricity_cellphone.htm  " xr:uid="{FD8E5C8A-329F-4B23-991F-B7D2545D689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E127-2BC0-4F1B-A23E-BD59982B098A}">
  <dimension ref="A1:G7"/>
  <sheetViews>
    <sheetView showGridLines="0" workbookViewId="0">
      <selection activeCell="G5" sqref="G5"/>
    </sheetView>
  </sheetViews>
  <sheetFormatPr defaultRowHeight="14.6" x14ac:dyDescent="0.4"/>
  <cols>
    <col min="1" max="2" width="14" bestFit="1" customWidth="1"/>
    <col min="3" max="3" width="16.84375" bestFit="1" customWidth="1"/>
    <col min="4" max="4" width="13.53515625" bestFit="1" customWidth="1"/>
    <col min="5" max="5" width="13.3046875" bestFit="1" customWidth="1"/>
    <col min="6" max="6" width="16.84375" bestFit="1" customWidth="1"/>
    <col min="7" max="7" width="13.53515625" bestFit="1" customWidth="1"/>
  </cols>
  <sheetData>
    <row r="1" spans="1:7" x14ac:dyDescent="0.4">
      <c r="A1" s="46" t="s">
        <v>687</v>
      </c>
      <c r="B1" s="258" t="s">
        <v>623</v>
      </c>
      <c r="C1" s="258"/>
      <c r="D1" s="258"/>
      <c r="E1" s="258" t="s">
        <v>692</v>
      </c>
      <c r="F1" s="258"/>
      <c r="G1" s="258"/>
    </row>
    <row r="2" spans="1:7" x14ac:dyDescent="0.4">
      <c r="A2" s="46"/>
      <c r="B2" s="68" t="s">
        <v>689</v>
      </c>
      <c r="C2" s="68" t="s">
        <v>690</v>
      </c>
      <c r="D2" s="68" t="s">
        <v>691</v>
      </c>
      <c r="E2" s="68" t="s">
        <v>689</v>
      </c>
      <c r="F2" s="68" t="s">
        <v>690</v>
      </c>
      <c r="G2" s="68" t="s">
        <v>691</v>
      </c>
    </row>
    <row r="3" spans="1:7" x14ac:dyDescent="0.4">
      <c r="A3" s="73" t="s">
        <v>645</v>
      </c>
      <c r="B3" s="91">
        <f>SUM(Devices_Use!B4:B15)</f>
        <v>2606.5</v>
      </c>
      <c r="C3" s="91">
        <f>SUM(Devices_Use!I4:I15)</f>
        <v>1699.19</v>
      </c>
      <c r="D3" s="91">
        <f>SUM(Devices_Use!P4:P15)</f>
        <v>1699.19</v>
      </c>
      <c r="E3" s="151">
        <f>B3/SUM(B$3:B$7)</f>
        <v>0.80696594427244583</v>
      </c>
      <c r="F3" s="151">
        <f t="shared" ref="F3:G7" si="0">C3/SUM(C$3:C$7)</f>
        <v>0.52606501547987616</v>
      </c>
      <c r="G3" s="151">
        <f t="shared" si="0"/>
        <v>0.52606501547987616</v>
      </c>
    </row>
    <row r="4" spans="1:7" x14ac:dyDescent="0.4">
      <c r="A4" s="73" t="s">
        <v>646</v>
      </c>
      <c r="B4" s="91">
        <f>SUM(Devices_Use!C4:C15)</f>
        <v>0</v>
      </c>
      <c r="C4" s="91">
        <f>SUM(Devices_Use!J4:J15)</f>
        <v>370.79333333333329</v>
      </c>
      <c r="D4" s="91">
        <f>SUM(Devices_Use!Q4:Q15)</f>
        <v>370.79333333333329</v>
      </c>
      <c r="E4" s="151">
        <f t="shared" ref="E4:E7" si="1">B4/SUM(B$3:B$7)</f>
        <v>0</v>
      </c>
      <c r="F4" s="151">
        <f t="shared" si="0"/>
        <v>0.11479669762641898</v>
      </c>
      <c r="G4" s="151">
        <f t="shared" si="0"/>
        <v>0.11479669762641898</v>
      </c>
    </row>
    <row r="5" spans="1:7" x14ac:dyDescent="0.4">
      <c r="A5" s="73" t="s">
        <v>647</v>
      </c>
      <c r="B5" s="91">
        <f>SUM(Devices_Use!D4:D15)</f>
        <v>623.5</v>
      </c>
      <c r="C5" s="91">
        <f>SUM(Devices_Use!K4:K15)</f>
        <v>530.63333333333333</v>
      </c>
      <c r="D5" s="91">
        <f>SUM(Devices_Use!R4:R15)</f>
        <v>530.63333333333333</v>
      </c>
      <c r="E5" s="151">
        <f t="shared" si="1"/>
        <v>0.19303405572755417</v>
      </c>
      <c r="F5" s="151">
        <f t="shared" si="0"/>
        <v>0.16428276573787409</v>
      </c>
      <c r="G5" s="151">
        <f t="shared" si="0"/>
        <v>0.16428276573787409</v>
      </c>
    </row>
    <row r="6" spans="1:7" x14ac:dyDescent="0.4">
      <c r="A6" s="73" t="s">
        <v>648</v>
      </c>
      <c r="B6" s="91">
        <f>SUM(Devices_Use!E4:E15)</f>
        <v>0</v>
      </c>
      <c r="C6" s="91">
        <f>SUM(Devices_Use!L4:L15)</f>
        <v>421.13333333333333</v>
      </c>
      <c r="D6" s="91">
        <f>SUM(Devices_Use!S4:S15)</f>
        <v>421.13333333333333</v>
      </c>
      <c r="E6" s="151">
        <f t="shared" si="1"/>
        <v>0</v>
      </c>
      <c r="F6" s="151">
        <f t="shared" si="0"/>
        <v>0.13038183694530445</v>
      </c>
      <c r="G6" s="151">
        <f t="shared" si="0"/>
        <v>0.13038183694530445</v>
      </c>
    </row>
    <row r="7" spans="1:7" x14ac:dyDescent="0.4">
      <c r="A7" s="73" t="s">
        <v>688</v>
      </c>
      <c r="B7" s="73">
        <f>SUM(Devices_Use!F4:H15)</f>
        <v>0</v>
      </c>
      <c r="C7" s="91">
        <f>SUM(Devices_Use!M4:O15)</f>
        <v>208.25</v>
      </c>
      <c r="D7" s="91">
        <f>SUM(Devices_Use!T4:V15)</f>
        <v>208.25</v>
      </c>
      <c r="E7" s="151">
        <f t="shared" si="1"/>
        <v>0</v>
      </c>
      <c r="F7" s="151">
        <f t="shared" si="0"/>
        <v>6.4473684210526322E-2</v>
      </c>
      <c r="G7" s="151">
        <f t="shared" si="0"/>
        <v>6.4473684210526322E-2</v>
      </c>
    </row>
  </sheetData>
  <mergeCells count="2">
    <mergeCell ref="B1:D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06-3FA7-4340-B546-FAB8FC6089D1}">
  <dimension ref="A1:G16"/>
  <sheetViews>
    <sheetView showGridLines="0" workbookViewId="0">
      <selection activeCell="F37" sqref="F37"/>
    </sheetView>
  </sheetViews>
  <sheetFormatPr defaultRowHeight="14.6" x14ac:dyDescent="0.4"/>
  <cols>
    <col min="1" max="1" width="9.69140625" customWidth="1"/>
    <col min="2" max="2" width="13" bestFit="1" customWidth="1"/>
    <col min="3" max="3" width="17.53515625" bestFit="1" customWidth="1"/>
    <col min="4" max="4" width="16.15234375" bestFit="1" customWidth="1"/>
    <col min="5" max="5" width="18.53515625" bestFit="1" customWidth="1"/>
    <col min="6" max="6" width="75.3828125" bestFit="1" customWidth="1"/>
    <col min="7" max="7" width="100.3046875" customWidth="1"/>
  </cols>
  <sheetData>
    <row r="1" spans="1:7" x14ac:dyDescent="0.4">
      <c r="A1" s="47" t="s">
        <v>468</v>
      </c>
      <c r="B1" s="68" t="s">
        <v>480</v>
      </c>
      <c r="C1" s="68" t="s">
        <v>481</v>
      </c>
      <c r="D1" s="68" t="s">
        <v>469</v>
      </c>
      <c r="E1" s="68" t="s">
        <v>470</v>
      </c>
      <c r="F1" s="68" t="s">
        <v>254</v>
      </c>
      <c r="G1" s="68" t="s">
        <v>491</v>
      </c>
    </row>
    <row r="2" spans="1:7" s="65" customFormat="1" x14ac:dyDescent="0.4">
      <c r="A2" s="74" t="s">
        <v>472</v>
      </c>
      <c r="B2" s="103">
        <v>38230000</v>
      </c>
      <c r="C2" s="106">
        <v>0.96499999999999997</v>
      </c>
      <c r="D2" s="103">
        <f t="shared" ref="D2:D10" si="0">B2*C2</f>
        <v>36891950</v>
      </c>
      <c r="E2" s="103">
        <f t="shared" ref="E2:E10" si="1">B2-D2</f>
        <v>1338050</v>
      </c>
      <c r="F2" s="102" t="s">
        <v>483</v>
      </c>
      <c r="G2" s="69" t="s">
        <v>477</v>
      </c>
    </row>
    <row r="3" spans="1:7" s="65" customFormat="1" x14ac:dyDescent="0.4">
      <c r="A3" s="74" t="s">
        <v>456</v>
      </c>
      <c r="B3" s="103">
        <f>SUM(internet_users_data!B8:B10)</f>
        <v>658000000</v>
      </c>
      <c r="C3" s="106">
        <f>SUMPRODUCT(internet_users_data!B8:B10,internet_users_data!D8:D10)/SUM(internet_users_data!B8:B10)</f>
        <v>0.69955927051671729</v>
      </c>
      <c r="D3" s="103">
        <f t="shared" si="0"/>
        <v>460310000</v>
      </c>
      <c r="E3" s="103">
        <f t="shared" si="1"/>
        <v>197690000</v>
      </c>
      <c r="F3" s="105" t="s">
        <v>497</v>
      </c>
      <c r="G3" s="86" t="s">
        <v>485</v>
      </c>
    </row>
    <row r="4" spans="1:7" s="65" customFormat="1" x14ac:dyDescent="0.4">
      <c r="A4" s="74" t="s">
        <v>455</v>
      </c>
      <c r="B4" s="103">
        <f>SUM(internet_users_data!B11:B14)</f>
        <v>747000000</v>
      </c>
      <c r="C4" s="106">
        <f>SUMPRODUCT(internet_users_data!B11:B14,internet_users_data!D11:D14)/SUM(internet_users_data!B11:B14)</f>
        <v>0.87686746987951802</v>
      </c>
      <c r="D4" s="103">
        <f t="shared" si="0"/>
        <v>655020000</v>
      </c>
      <c r="E4" s="103">
        <f t="shared" si="1"/>
        <v>91980000</v>
      </c>
      <c r="F4" s="105" t="s">
        <v>497</v>
      </c>
      <c r="G4" s="86" t="s">
        <v>484</v>
      </c>
    </row>
    <row r="5" spans="1:7" s="65" customFormat="1" x14ac:dyDescent="0.4">
      <c r="A5" s="74" t="s">
        <v>448</v>
      </c>
      <c r="B5" s="103">
        <v>333900000</v>
      </c>
      <c r="C5" s="106">
        <v>0.92</v>
      </c>
      <c r="D5" s="103">
        <f t="shared" si="0"/>
        <v>307188000</v>
      </c>
      <c r="E5" s="103">
        <f t="shared" si="1"/>
        <v>26712000</v>
      </c>
      <c r="F5" s="102" t="s">
        <v>482</v>
      </c>
      <c r="G5" s="69" t="s">
        <v>477</v>
      </c>
    </row>
    <row r="6" spans="1:7" s="65" customFormat="1" x14ac:dyDescent="0.4">
      <c r="A6" s="74" t="s">
        <v>495</v>
      </c>
      <c r="B6" s="103">
        <v>125800000</v>
      </c>
      <c r="C6" s="106">
        <v>0.94</v>
      </c>
      <c r="D6" s="103">
        <f t="shared" ref="D6:D7" si="2">B6*C6</f>
        <v>118252000</v>
      </c>
      <c r="E6" s="103">
        <f t="shared" ref="E6:E7" si="3">B6-D6</f>
        <v>7548000</v>
      </c>
      <c r="F6" s="102" t="s">
        <v>498</v>
      </c>
      <c r="G6" s="69" t="s">
        <v>477</v>
      </c>
    </row>
    <row r="7" spans="1:7" s="65" customFormat="1" x14ac:dyDescent="0.4">
      <c r="A7" s="74" t="s">
        <v>496</v>
      </c>
      <c r="B7" s="103">
        <v>51320000</v>
      </c>
      <c r="C7" s="106">
        <v>0.98</v>
      </c>
      <c r="D7" s="103">
        <f t="shared" si="2"/>
        <v>50293600</v>
      </c>
      <c r="E7" s="103">
        <f t="shared" si="3"/>
        <v>1026400</v>
      </c>
      <c r="F7" s="102" t="s">
        <v>499</v>
      </c>
      <c r="G7" s="69" t="s">
        <v>477</v>
      </c>
    </row>
    <row r="8" spans="1:7" s="65" customFormat="1" x14ac:dyDescent="0.4">
      <c r="A8" s="74" t="s">
        <v>457</v>
      </c>
      <c r="B8" s="103">
        <f>SUM(internet_users_data!B15:B19)</f>
        <v>1356000000</v>
      </c>
      <c r="C8" s="106">
        <f>SUMPRODUCT(internet_users_data!B15:B19,internet_users_data!D15:D19)/SUM(internet_users_data!B15:B19)</f>
        <v>0.37429203539823008</v>
      </c>
      <c r="D8" s="103">
        <f t="shared" si="0"/>
        <v>507540000</v>
      </c>
      <c r="E8" s="103">
        <f t="shared" si="1"/>
        <v>848460000</v>
      </c>
      <c r="F8" s="105" t="s">
        <v>497</v>
      </c>
      <c r="G8" s="86" t="s">
        <v>486</v>
      </c>
    </row>
    <row r="9" spans="1:7" s="65" customFormat="1" x14ac:dyDescent="0.4">
      <c r="A9" s="74" t="s">
        <v>473</v>
      </c>
      <c r="B9" s="103">
        <f>internet_users_data!B21</f>
        <v>282000000</v>
      </c>
      <c r="C9" s="106">
        <f>internet_users_data!D21</f>
        <v>0.74</v>
      </c>
      <c r="D9" s="103">
        <f t="shared" si="0"/>
        <v>208680000</v>
      </c>
      <c r="E9" s="103">
        <f t="shared" si="1"/>
        <v>73320000</v>
      </c>
      <c r="F9" s="105" t="s">
        <v>497</v>
      </c>
      <c r="G9" s="86" t="s">
        <v>487</v>
      </c>
    </row>
    <row r="10" spans="1:7" s="65" customFormat="1" x14ac:dyDescent="0.4">
      <c r="A10" s="74" t="s">
        <v>475</v>
      </c>
      <c r="B10" s="103">
        <v>25930000</v>
      </c>
      <c r="C10" s="106">
        <v>0.91</v>
      </c>
      <c r="D10" s="103">
        <f t="shared" si="0"/>
        <v>23596300</v>
      </c>
      <c r="E10" s="103">
        <f t="shared" si="1"/>
        <v>2333700</v>
      </c>
      <c r="F10" s="102" t="s">
        <v>479</v>
      </c>
      <c r="G10" s="69" t="s">
        <v>477</v>
      </c>
    </row>
    <row r="11" spans="1:7" s="65" customFormat="1" x14ac:dyDescent="0.4">
      <c r="A11" s="74" t="s">
        <v>449</v>
      </c>
      <c r="B11" s="103">
        <v>1450000000</v>
      </c>
      <c r="C11" s="106">
        <v>0.70899999999999996</v>
      </c>
      <c r="D11" s="103">
        <f t="shared" ref="D11:D12" si="4">B11*C11</f>
        <v>1028050000</v>
      </c>
      <c r="E11" s="103">
        <f t="shared" ref="E11:E12" si="5">B11-D11</f>
        <v>421950000</v>
      </c>
      <c r="F11" s="104" t="s">
        <v>476</v>
      </c>
      <c r="G11" s="86" t="s">
        <v>477</v>
      </c>
    </row>
    <row r="12" spans="1:7" s="65" customFormat="1" x14ac:dyDescent="0.4">
      <c r="A12" s="74" t="s">
        <v>454</v>
      </c>
      <c r="B12" s="103">
        <v>1400000000</v>
      </c>
      <c r="C12" s="106">
        <v>0.47</v>
      </c>
      <c r="D12" s="103">
        <f t="shared" si="4"/>
        <v>658000000</v>
      </c>
      <c r="E12" s="103">
        <f t="shared" si="5"/>
        <v>742000000</v>
      </c>
      <c r="F12" s="105" t="s">
        <v>478</v>
      </c>
      <c r="G12" s="86" t="s">
        <v>477</v>
      </c>
    </row>
    <row r="13" spans="1:7" s="65" customFormat="1" x14ac:dyDescent="0.4">
      <c r="A13" s="74" t="s">
        <v>500</v>
      </c>
      <c r="B13" s="103">
        <f>SUM(B2:B12)</f>
        <v>6468180000</v>
      </c>
      <c r="C13" s="106">
        <f>D13/B13</f>
        <v>0.62673299908165825</v>
      </c>
      <c r="D13" s="103">
        <f t="shared" ref="D13:E13" si="6">SUM(D2:D12)</f>
        <v>4053821850</v>
      </c>
      <c r="E13" s="103">
        <f t="shared" si="6"/>
        <v>2414358150</v>
      </c>
      <c r="F13" s="105"/>
      <c r="G13" s="86" t="s">
        <v>477</v>
      </c>
    </row>
    <row r="16" spans="1:7" x14ac:dyDescent="0.4">
      <c r="D16" s="89"/>
      <c r="E16" s="89"/>
    </row>
  </sheetData>
  <hyperlinks>
    <hyperlink ref="F11" r:id="rId1" display="https://datareportal.com/reports/digital-2022-china" xr:uid="{986BFBCF-6F4D-4D8A-A3AD-B1A3C5EE4D30}"/>
    <hyperlink ref="F12" r:id="rId2" display="https://datareportal.com/reports/digital-2022-india" xr:uid="{4B0AC810-EE2A-442F-ABEC-F9F71720E5B4}"/>
    <hyperlink ref="F10" r:id="rId3" display="https://datareportal.com/reports/digital-2022-australia" xr:uid="{FA6C0913-6DBA-4D99-9072-8D2FD63F6AFC}"/>
    <hyperlink ref="F5" r:id="rId4" display="https://datareportal.com/reports/digital-2022-united-states-of-america" xr:uid="{C120F3EB-F7BA-4995-B94C-1B490AD5F5E7}"/>
    <hyperlink ref="F2" r:id="rId5" display="https://datareportal.com/reports/digital-2022-canada" xr:uid="{066A65B5-10B0-41A8-8332-517B06044A9D}"/>
    <hyperlink ref="F3" location="internet_users_data!A1" display="internet_users_data!A1" xr:uid="{69111908-B38D-44DF-9437-72A1BEB98986}"/>
    <hyperlink ref="F4" location="internet_users_data!A1" display="internet_users_data!A1" xr:uid="{6195CA03-53E7-4945-9972-4F494060D582}"/>
    <hyperlink ref="F8" location="internet_users_data!A1" display="internet_users_data!A1" xr:uid="{3E6DE07F-0038-40B1-B48C-F1C1D1E4C167}"/>
    <hyperlink ref="F9" location="internet_users_data!A1" display="internet_users_data!A1" xr:uid="{737AAF75-7755-4893-9522-920305F728D6}"/>
    <hyperlink ref="F6" r:id="rId6" display="https://datareportal.com/reports/digital-2022-japan" xr:uid="{36B724A1-7617-423C-94AA-50D5421420DA}"/>
    <hyperlink ref="F7" r:id="rId7" display="https://datareportal.com/reports/digital-2022-south-korea" xr:uid="{2A0FC095-8091-41D4-BAE3-4B1844DCE1C4}"/>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5FB-5290-4B19-B431-64F2DCFE3EA0}">
  <dimension ref="A1:F40"/>
  <sheetViews>
    <sheetView showGridLines="0" workbookViewId="0">
      <selection activeCell="I2" sqref="I2:M45"/>
    </sheetView>
  </sheetViews>
  <sheetFormatPr defaultRowHeight="14.6" x14ac:dyDescent="0.4"/>
  <cols>
    <col min="1" max="1" width="20.3828125" bestFit="1" customWidth="1"/>
    <col min="2" max="2" width="8.69140625" bestFit="1" customWidth="1"/>
    <col min="3" max="3" width="25.3828125" customWidth="1"/>
    <col min="4" max="5" width="27.3828125" bestFit="1" customWidth="1"/>
    <col min="6" max="6" width="53.3828125" bestFit="1" customWidth="1"/>
  </cols>
  <sheetData>
    <row r="1" spans="1:6" x14ac:dyDescent="0.4">
      <c r="A1" s="47" t="s">
        <v>501</v>
      </c>
      <c r="B1" s="47" t="s">
        <v>544</v>
      </c>
      <c r="C1" s="68" t="s">
        <v>502</v>
      </c>
      <c r="D1" s="68" t="s">
        <v>503</v>
      </c>
      <c r="E1" s="68" t="s">
        <v>254</v>
      </c>
      <c r="F1" s="68" t="s">
        <v>491</v>
      </c>
    </row>
    <row r="2" spans="1:6" x14ac:dyDescent="0.4">
      <c r="A2" s="95" t="s">
        <v>504</v>
      </c>
      <c r="B2" s="95" t="s">
        <v>545</v>
      </c>
      <c r="C2" s="122">
        <v>0.2747</v>
      </c>
      <c r="D2" s="122">
        <v>0.18</v>
      </c>
      <c r="E2" s="260" t="s">
        <v>542</v>
      </c>
      <c r="F2" s="259" t="s">
        <v>583</v>
      </c>
    </row>
    <row r="3" spans="1:6" x14ac:dyDescent="0.4">
      <c r="A3" s="95" t="s">
        <v>505</v>
      </c>
      <c r="B3" s="95" t="s">
        <v>546</v>
      </c>
      <c r="C3" s="122">
        <v>9.8949999999999996E-2</v>
      </c>
      <c r="D3" s="122">
        <v>0.18</v>
      </c>
      <c r="E3" s="260"/>
      <c r="F3" s="259"/>
    </row>
    <row r="4" spans="1:6" x14ac:dyDescent="0.4">
      <c r="A4" s="95" t="s">
        <v>506</v>
      </c>
      <c r="B4" s="95" t="s">
        <v>547</v>
      </c>
      <c r="C4" s="122">
        <v>0.18180000000000002</v>
      </c>
      <c r="D4" s="122">
        <v>0.18</v>
      </c>
      <c r="E4" s="260"/>
      <c r="F4" s="259"/>
    </row>
    <row r="5" spans="1:6" x14ac:dyDescent="0.4">
      <c r="A5" s="95" t="s">
        <v>507</v>
      </c>
      <c r="B5" s="95" t="s">
        <v>548</v>
      </c>
      <c r="C5" s="122">
        <v>0.28259999999999996</v>
      </c>
      <c r="D5" s="122">
        <v>0.18</v>
      </c>
      <c r="E5" s="260"/>
      <c r="F5" s="259"/>
    </row>
    <row r="6" spans="1:6" x14ac:dyDescent="0.4">
      <c r="A6" s="95" t="s">
        <v>543</v>
      </c>
      <c r="B6" s="95" t="s">
        <v>549</v>
      </c>
      <c r="C6" s="122">
        <v>0.30245</v>
      </c>
      <c r="D6" s="122">
        <v>0.18</v>
      </c>
      <c r="E6" s="260"/>
      <c r="F6" s="259"/>
    </row>
    <row r="7" spans="1:6" x14ac:dyDescent="0.4">
      <c r="A7" s="95" t="s">
        <v>508</v>
      </c>
      <c r="B7" s="95" t="s">
        <v>550</v>
      </c>
      <c r="C7" s="122">
        <v>0.12634999999999999</v>
      </c>
      <c r="D7" s="122">
        <v>0.18</v>
      </c>
      <c r="E7" s="260"/>
      <c r="F7" s="259"/>
    </row>
    <row r="8" spans="1:6" x14ac:dyDescent="0.4">
      <c r="A8" s="95" t="s">
        <v>509</v>
      </c>
      <c r="B8" s="95" t="s">
        <v>551</v>
      </c>
      <c r="C8" s="122">
        <v>0.25145000000000001</v>
      </c>
      <c r="D8" s="122">
        <v>0.18</v>
      </c>
      <c r="E8" s="260"/>
      <c r="F8" s="259"/>
    </row>
    <row r="9" spans="1:6" x14ac:dyDescent="0.4">
      <c r="A9" s="95" t="s">
        <v>510</v>
      </c>
      <c r="B9" s="95" t="s">
        <v>552</v>
      </c>
      <c r="C9" s="122">
        <v>0.16575000000000001</v>
      </c>
      <c r="D9" s="122">
        <v>0.18</v>
      </c>
      <c r="E9" s="260"/>
      <c r="F9" s="259"/>
    </row>
    <row r="10" spans="1:6" x14ac:dyDescent="0.4">
      <c r="A10" s="95" t="s">
        <v>511</v>
      </c>
      <c r="B10" s="95" t="s">
        <v>553</v>
      </c>
      <c r="C10" s="122">
        <v>0.22685</v>
      </c>
      <c r="D10" s="122">
        <v>0.18</v>
      </c>
      <c r="E10" s="260"/>
      <c r="F10" s="259"/>
    </row>
    <row r="11" spans="1:6" x14ac:dyDescent="0.4">
      <c r="A11" s="95" t="s">
        <v>512</v>
      </c>
      <c r="B11" s="95" t="s">
        <v>554</v>
      </c>
      <c r="C11" s="122">
        <v>0.19255</v>
      </c>
      <c r="D11" s="122">
        <v>0.18</v>
      </c>
      <c r="E11" s="260"/>
      <c r="F11" s="259"/>
    </row>
    <row r="12" spans="1:6" x14ac:dyDescent="0.4">
      <c r="A12" s="95" t="s">
        <v>513</v>
      </c>
      <c r="B12" s="95" t="s">
        <v>555</v>
      </c>
      <c r="C12" s="122">
        <v>0.13040000000000002</v>
      </c>
      <c r="D12" s="122">
        <v>0.18</v>
      </c>
      <c r="E12" s="260"/>
      <c r="F12" s="259"/>
    </row>
    <row r="13" spans="1:6" x14ac:dyDescent="0.4">
      <c r="A13" s="95" t="s">
        <v>514</v>
      </c>
      <c r="B13" s="95" t="s">
        <v>556</v>
      </c>
      <c r="C13" s="122">
        <v>0.21894999999999998</v>
      </c>
      <c r="D13" s="122">
        <v>0.18</v>
      </c>
      <c r="E13" s="260"/>
      <c r="F13" s="259"/>
    </row>
    <row r="14" spans="1:6" x14ac:dyDescent="0.4">
      <c r="A14" s="95" t="s">
        <v>515</v>
      </c>
      <c r="B14" s="95" t="s">
        <v>557</v>
      </c>
      <c r="C14" s="122">
        <v>0.19155</v>
      </c>
      <c r="D14" s="122">
        <v>0.18</v>
      </c>
      <c r="E14" s="260"/>
      <c r="F14" s="259"/>
    </row>
    <row r="15" spans="1:6" x14ac:dyDescent="0.4">
      <c r="A15" s="95" t="s">
        <v>516</v>
      </c>
      <c r="B15" s="95" t="s">
        <v>558</v>
      </c>
      <c r="C15" s="122">
        <v>0.1426</v>
      </c>
      <c r="D15" s="122">
        <v>0.18</v>
      </c>
      <c r="E15" s="260"/>
      <c r="F15" s="259"/>
    </row>
    <row r="16" spans="1:6" x14ac:dyDescent="0.4">
      <c r="A16" s="95" t="s">
        <v>517</v>
      </c>
      <c r="B16" s="95" t="s">
        <v>559</v>
      </c>
      <c r="C16" s="122">
        <v>0.13735</v>
      </c>
      <c r="D16" s="122">
        <v>0.18</v>
      </c>
      <c r="E16" s="260"/>
      <c r="F16" s="259"/>
    </row>
    <row r="17" spans="1:6" x14ac:dyDescent="0.4">
      <c r="A17" s="95" t="s">
        <v>518</v>
      </c>
      <c r="B17" s="95" t="s">
        <v>560</v>
      </c>
      <c r="C17" s="122">
        <v>0.19855</v>
      </c>
      <c r="D17" s="122">
        <v>0.18</v>
      </c>
      <c r="E17" s="260"/>
      <c r="F17" s="259"/>
    </row>
    <row r="18" spans="1:6" x14ac:dyDescent="0.4">
      <c r="A18" s="95" t="s">
        <v>519</v>
      </c>
      <c r="B18" s="95" t="s">
        <v>561</v>
      </c>
      <c r="C18" s="122">
        <v>0.10200000000000001</v>
      </c>
      <c r="D18" s="122">
        <v>0.18</v>
      </c>
      <c r="E18" s="260"/>
      <c r="F18" s="259"/>
    </row>
    <row r="19" spans="1:6" x14ac:dyDescent="0.4">
      <c r="A19" s="95" t="s">
        <v>520</v>
      </c>
      <c r="B19" s="95" t="s">
        <v>562</v>
      </c>
      <c r="C19" s="122">
        <v>0.12924999999999998</v>
      </c>
      <c r="D19" s="122">
        <v>0.18</v>
      </c>
      <c r="E19" s="260"/>
      <c r="F19" s="259"/>
    </row>
    <row r="20" spans="1:6" x14ac:dyDescent="0.4">
      <c r="A20" s="95" t="s">
        <v>521</v>
      </c>
      <c r="B20" s="95" t="s">
        <v>563</v>
      </c>
      <c r="C20" s="122">
        <v>0.1394</v>
      </c>
      <c r="D20" s="122">
        <v>0.18</v>
      </c>
      <c r="E20" s="260"/>
      <c r="F20" s="259"/>
    </row>
    <row r="21" spans="1:6" x14ac:dyDescent="0.4">
      <c r="A21" s="95" t="s">
        <v>522</v>
      </c>
      <c r="B21" s="95" t="s">
        <v>475</v>
      </c>
      <c r="C21" s="122">
        <v>0.21390000000000001</v>
      </c>
      <c r="D21" s="122">
        <v>0.18</v>
      </c>
      <c r="E21" s="260"/>
      <c r="F21" s="259"/>
    </row>
    <row r="22" spans="1:6" x14ac:dyDescent="0.4">
      <c r="A22" s="95" t="s">
        <v>523</v>
      </c>
      <c r="B22" s="95" t="s">
        <v>564</v>
      </c>
      <c r="C22" s="122">
        <v>0.14924999999999999</v>
      </c>
      <c r="D22" s="122">
        <v>0.18</v>
      </c>
      <c r="E22" s="260"/>
      <c r="F22" s="259"/>
    </row>
    <row r="23" spans="1:6" x14ac:dyDescent="0.4">
      <c r="A23" s="95" t="s">
        <v>524</v>
      </c>
      <c r="B23" s="95" t="s">
        <v>565</v>
      </c>
      <c r="C23" s="122">
        <v>0.21265000000000001</v>
      </c>
      <c r="D23" s="122">
        <v>0.18</v>
      </c>
      <c r="E23" s="260"/>
      <c r="F23" s="259"/>
    </row>
    <row r="24" spans="1:6" x14ac:dyDescent="0.4">
      <c r="A24" s="95" t="s">
        <v>525</v>
      </c>
      <c r="B24" s="95" t="s">
        <v>566</v>
      </c>
      <c r="C24" s="122">
        <v>0.1454</v>
      </c>
      <c r="D24" s="122">
        <v>0.18</v>
      </c>
      <c r="E24" s="260"/>
      <c r="F24" s="259"/>
    </row>
    <row r="25" spans="1:6" x14ac:dyDescent="0.4">
      <c r="A25" s="95" t="s">
        <v>526</v>
      </c>
      <c r="B25" s="95" t="s">
        <v>567</v>
      </c>
      <c r="C25" s="122">
        <v>0.15710000000000002</v>
      </c>
      <c r="D25" s="122">
        <v>0.18</v>
      </c>
      <c r="E25" s="260"/>
      <c r="F25" s="259"/>
    </row>
    <row r="26" spans="1:6" x14ac:dyDescent="0.4">
      <c r="A26" s="95" t="s">
        <v>527</v>
      </c>
      <c r="B26" s="95" t="s">
        <v>568</v>
      </c>
      <c r="C26" s="122">
        <v>0.17049999999999998</v>
      </c>
      <c r="D26" s="122">
        <v>0.18</v>
      </c>
      <c r="E26" s="260"/>
      <c r="F26" s="259"/>
    </row>
    <row r="27" spans="1:6" x14ac:dyDescent="0.4">
      <c r="A27" s="95" t="s">
        <v>528</v>
      </c>
      <c r="B27" s="95" t="s">
        <v>581</v>
      </c>
      <c r="C27" s="122">
        <v>0.17565</v>
      </c>
      <c r="D27" s="122">
        <v>0.18</v>
      </c>
      <c r="E27" s="260"/>
      <c r="F27" s="259"/>
    </row>
    <row r="28" spans="1:6" x14ac:dyDescent="0.4">
      <c r="A28" s="95" t="s">
        <v>529</v>
      </c>
      <c r="B28" s="95" t="s">
        <v>569</v>
      </c>
      <c r="C28" s="122">
        <v>0.17720000000000002</v>
      </c>
      <c r="D28" s="122">
        <v>0.18</v>
      </c>
      <c r="E28" s="260"/>
      <c r="F28" s="259"/>
    </row>
    <row r="29" spans="1:6" x14ac:dyDescent="0.4">
      <c r="A29" s="95" t="s">
        <v>530</v>
      </c>
      <c r="B29" s="95" t="s">
        <v>570</v>
      </c>
      <c r="C29" s="122">
        <v>0.12945000000000001</v>
      </c>
      <c r="D29" s="122">
        <v>0.18</v>
      </c>
      <c r="E29" s="260"/>
      <c r="F29" s="259"/>
    </row>
    <row r="30" spans="1:6" x14ac:dyDescent="0.4">
      <c r="A30" s="95" t="s">
        <v>531</v>
      </c>
      <c r="B30" s="95" t="s">
        <v>571</v>
      </c>
      <c r="C30" s="122">
        <v>0.13385000000000002</v>
      </c>
      <c r="D30" s="122">
        <v>0.18</v>
      </c>
      <c r="E30" s="260"/>
      <c r="F30" s="259"/>
    </row>
    <row r="31" spans="1:6" x14ac:dyDescent="0.4">
      <c r="A31" s="95" t="s">
        <v>532</v>
      </c>
      <c r="B31" s="95" t="s">
        <v>582</v>
      </c>
      <c r="C31" s="122">
        <v>0.2203</v>
      </c>
      <c r="D31" s="122">
        <v>0.18</v>
      </c>
      <c r="E31" s="260"/>
      <c r="F31" s="259"/>
    </row>
    <row r="32" spans="1:6" x14ac:dyDescent="0.4">
      <c r="A32" s="95" t="s">
        <v>533</v>
      </c>
      <c r="B32" s="95" t="s">
        <v>572</v>
      </c>
      <c r="C32" s="122">
        <v>9.9349999999999994E-2</v>
      </c>
      <c r="D32" s="122">
        <v>0.18</v>
      </c>
      <c r="E32" s="260"/>
      <c r="F32" s="259"/>
    </row>
    <row r="33" spans="1:6" x14ac:dyDescent="0.4">
      <c r="A33" s="95" t="s">
        <v>534</v>
      </c>
      <c r="B33" s="95" t="s">
        <v>573</v>
      </c>
      <c r="C33" s="122">
        <v>8.0750000000000002E-2</v>
      </c>
      <c r="D33" s="122">
        <v>0.18</v>
      </c>
      <c r="E33" s="260"/>
      <c r="F33" s="259"/>
    </row>
    <row r="34" spans="1:6" x14ac:dyDescent="0.4">
      <c r="A34" s="95" t="s">
        <v>535</v>
      </c>
      <c r="B34" s="95" t="s">
        <v>574</v>
      </c>
      <c r="C34" s="122">
        <v>9.2100000000000001E-2</v>
      </c>
      <c r="D34" s="122">
        <v>0.18</v>
      </c>
      <c r="E34" s="260"/>
      <c r="F34" s="259"/>
    </row>
    <row r="35" spans="1:6" x14ac:dyDescent="0.4">
      <c r="A35" s="95" t="s">
        <v>536</v>
      </c>
      <c r="B35" s="95" t="s">
        <v>575</v>
      </c>
      <c r="C35" s="122">
        <v>7.375000000000001E-2</v>
      </c>
      <c r="D35" s="122">
        <v>0.18</v>
      </c>
      <c r="E35" s="260"/>
      <c r="F35" s="259"/>
    </row>
    <row r="36" spans="1:6" x14ac:dyDescent="0.4">
      <c r="A36" s="95" t="s">
        <v>537</v>
      </c>
      <c r="B36" s="95" t="s">
        <v>576</v>
      </c>
      <c r="C36" s="122">
        <v>9.085E-2</v>
      </c>
      <c r="D36" s="122">
        <v>0.18</v>
      </c>
      <c r="E36" s="260"/>
      <c r="F36" s="259"/>
    </row>
    <row r="37" spans="1:6" x14ac:dyDescent="0.4">
      <c r="A37" s="95" t="s">
        <v>538</v>
      </c>
      <c r="B37" s="95" t="s">
        <v>577</v>
      </c>
      <c r="C37" s="122">
        <v>8.854999999999999E-2</v>
      </c>
      <c r="D37" s="122">
        <v>0.18</v>
      </c>
      <c r="E37" s="260"/>
      <c r="F37" s="259"/>
    </row>
    <row r="38" spans="1:6" x14ac:dyDescent="0.4">
      <c r="A38" s="95" t="s">
        <v>539</v>
      </c>
      <c r="B38" s="95" t="s">
        <v>578</v>
      </c>
      <c r="C38" s="122">
        <v>0.10305</v>
      </c>
      <c r="D38" s="122">
        <v>0.18</v>
      </c>
      <c r="E38" s="260"/>
      <c r="F38" s="259"/>
    </row>
    <row r="39" spans="1:6" x14ac:dyDescent="0.4">
      <c r="A39" s="95" t="s">
        <v>540</v>
      </c>
      <c r="B39" s="95" t="s">
        <v>579</v>
      </c>
      <c r="C39" s="122">
        <v>4.3099999999999999E-2</v>
      </c>
      <c r="D39" s="122">
        <v>0.18</v>
      </c>
      <c r="E39" s="260"/>
      <c r="F39" s="259"/>
    </row>
    <row r="40" spans="1:6" x14ac:dyDescent="0.4">
      <c r="A40" s="95" t="s">
        <v>541</v>
      </c>
      <c r="B40" s="95" t="s">
        <v>580</v>
      </c>
      <c r="C40" s="122">
        <v>6.1550000000000001E-2</v>
      </c>
      <c r="D40" s="122">
        <v>0.18</v>
      </c>
      <c r="E40" s="260"/>
      <c r="F40" s="259"/>
    </row>
  </sheetData>
  <mergeCells count="2">
    <mergeCell ref="F2:F40"/>
    <mergeCell ref="E2:E40"/>
  </mergeCells>
  <hyperlinks>
    <hyperlink ref="E2" r:id="rId1" display="https://ec.europa.eu/eurostat/databrowser/view/nrg_pc_204/default/table?lang=en" xr:uid="{41839DA0-72A2-40D0-9188-E1BAB83C1315}"/>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22BA-F045-4AA1-85D5-D90E2F260536}">
  <dimension ref="A1:G25"/>
  <sheetViews>
    <sheetView workbookViewId="0">
      <selection activeCell="J39" sqref="J39"/>
    </sheetView>
  </sheetViews>
  <sheetFormatPr defaultRowHeight="14.6" x14ac:dyDescent="0.4"/>
  <cols>
    <col min="1" max="1" width="29.3046875" customWidth="1"/>
    <col min="2" max="2" width="13" bestFit="1" customWidth="1"/>
    <col min="3" max="3" width="6" customWidth="1"/>
    <col min="4" max="4" width="10.3828125" customWidth="1"/>
    <col min="5" max="5" width="13" bestFit="1" customWidth="1"/>
    <col min="6" max="6" width="10.3828125" customWidth="1"/>
    <col min="7" max="7" width="13" bestFit="1" customWidth="1"/>
  </cols>
  <sheetData>
    <row r="1" spans="1:7" ht="18.45" x14ac:dyDescent="0.5">
      <c r="A1" s="28" t="s">
        <v>203</v>
      </c>
    </row>
    <row r="2" spans="1:7" x14ac:dyDescent="0.4">
      <c r="A2" s="101" t="s">
        <v>148</v>
      </c>
    </row>
    <row r="3" spans="1:7" x14ac:dyDescent="0.4">
      <c r="A3" t="s">
        <v>204</v>
      </c>
    </row>
    <row r="5" spans="1:7" x14ac:dyDescent="0.4">
      <c r="D5" s="261" t="s">
        <v>206</v>
      </c>
      <c r="E5" s="262"/>
      <c r="F5" s="261" t="s">
        <v>212</v>
      </c>
      <c r="G5" s="262"/>
    </row>
    <row r="6" spans="1:7" x14ac:dyDescent="0.4">
      <c r="A6" s="33" t="s">
        <v>151</v>
      </c>
      <c r="B6" s="34" t="s">
        <v>210</v>
      </c>
      <c r="D6" s="38" t="s">
        <v>202</v>
      </c>
      <c r="E6" s="39" t="s">
        <v>211</v>
      </c>
      <c r="F6" s="38" t="s">
        <v>202</v>
      </c>
      <c r="G6" s="39" t="s">
        <v>211</v>
      </c>
    </row>
    <row r="7" spans="1:7" x14ac:dyDescent="0.4">
      <c r="A7" s="116" t="s">
        <v>205</v>
      </c>
      <c r="B7" s="40">
        <v>370000000</v>
      </c>
      <c r="C7" s="5"/>
      <c r="D7" s="41">
        <v>0.9</v>
      </c>
      <c r="E7" s="42">
        <f>B7*D7</f>
        <v>333000000</v>
      </c>
      <c r="F7" s="41">
        <f>1-D7</f>
        <v>9.9999999999999978E-2</v>
      </c>
      <c r="G7" s="42">
        <f>B7*F7</f>
        <v>36999999.999999993</v>
      </c>
    </row>
    <row r="8" spans="1:7" x14ac:dyDescent="0.4">
      <c r="A8" s="111" t="s">
        <v>152</v>
      </c>
      <c r="B8" s="112">
        <v>181000000</v>
      </c>
      <c r="C8" s="113"/>
      <c r="D8" s="114">
        <v>0.67</v>
      </c>
      <c r="E8" s="115">
        <f t="shared" ref="E8:E25" si="0">B8*D8</f>
        <v>121270000</v>
      </c>
      <c r="F8" s="114">
        <f t="shared" ref="F8:F25" si="1">1-D8</f>
        <v>0.32999999999999996</v>
      </c>
      <c r="G8" s="115">
        <f t="shared" ref="G8:G25" si="2">B8*F8</f>
        <v>59729999.999999993</v>
      </c>
    </row>
    <row r="9" spans="1:7" x14ac:dyDescent="0.4">
      <c r="A9" s="111" t="s">
        <v>153</v>
      </c>
      <c r="B9" s="112">
        <v>44000000</v>
      </c>
      <c r="C9" s="113"/>
      <c r="D9" s="114">
        <v>0.62</v>
      </c>
      <c r="E9" s="115">
        <f t="shared" si="0"/>
        <v>27280000</v>
      </c>
      <c r="F9" s="114">
        <f t="shared" si="1"/>
        <v>0.38</v>
      </c>
      <c r="G9" s="115">
        <f t="shared" si="2"/>
        <v>16720000</v>
      </c>
    </row>
    <row r="10" spans="1:7" x14ac:dyDescent="0.4">
      <c r="A10" s="111" t="s">
        <v>154</v>
      </c>
      <c r="B10" s="112">
        <v>433000000</v>
      </c>
      <c r="C10" s="113"/>
      <c r="D10" s="114">
        <v>0.72</v>
      </c>
      <c r="E10" s="115">
        <f t="shared" si="0"/>
        <v>311760000</v>
      </c>
      <c r="F10" s="114">
        <f t="shared" si="1"/>
        <v>0.28000000000000003</v>
      </c>
      <c r="G10" s="115">
        <f t="shared" si="2"/>
        <v>121240000.00000001</v>
      </c>
    </row>
    <row r="11" spans="1:7" x14ac:dyDescent="0.4">
      <c r="A11" s="107" t="s">
        <v>155</v>
      </c>
      <c r="B11" s="108">
        <v>196000000</v>
      </c>
      <c r="C11" s="80"/>
      <c r="D11" s="109">
        <v>0.93</v>
      </c>
      <c r="E11" s="110">
        <f t="shared" si="0"/>
        <v>182280000</v>
      </c>
      <c r="F11" s="109">
        <f t="shared" si="1"/>
        <v>6.9999999999999951E-2</v>
      </c>
      <c r="G11" s="110">
        <f t="shared" si="2"/>
        <v>13719999.999999991</v>
      </c>
    </row>
    <row r="12" spans="1:7" x14ac:dyDescent="0.4">
      <c r="A12" s="107" t="s">
        <v>156</v>
      </c>
      <c r="B12" s="108">
        <v>106000000</v>
      </c>
      <c r="C12" s="80"/>
      <c r="D12" s="109">
        <v>0.96</v>
      </c>
      <c r="E12" s="110">
        <f t="shared" si="0"/>
        <v>101760000</v>
      </c>
      <c r="F12" s="109">
        <f t="shared" si="1"/>
        <v>4.0000000000000036E-2</v>
      </c>
      <c r="G12" s="110">
        <f t="shared" si="2"/>
        <v>4240000.0000000037</v>
      </c>
    </row>
    <row r="13" spans="1:7" x14ac:dyDescent="0.4">
      <c r="A13" s="107" t="s">
        <v>207</v>
      </c>
      <c r="B13" s="108">
        <v>152000000</v>
      </c>
      <c r="C13" s="80"/>
      <c r="D13" s="109">
        <v>0.86</v>
      </c>
      <c r="E13" s="110">
        <f t="shared" si="0"/>
        <v>130720000</v>
      </c>
      <c r="F13" s="109">
        <f t="shared" si="1"/>
        <v>0.14000000000000001</v>
      </c>
      <c r="G13" s="110">
        <f t="shared" si="2"/>
        <v>21280000.000000004</v>
      </c>
    </row>
    <row r="14" spans="1:7" x14ac:dyDescent="0.4">
      <c r="A14" s="107" t="s">
        <v>157</v>
      </c>
      <c r="B14" s="108">
        <v>293000000</v>
      </c>
      <c r="C14" s="80"/>
      <c r="D14" s="109">
        <v>0.82</v>
      </c>
      <c r="E14" s="110">
        <f t="shared" si="0"/>
        <v>240260000</v>
      </c>
      <c r="F14" s="109">
        <f t="shared" si="1"/>
        <v>0.18000000000000005</v>
      </c>
      <c r="G14" s="110">
        <f t="shared" si="2"/>
        <v>52740000.000000015</v>
      </c>
    </row>
    <row r="15" spans="1:7" x14ac:dyDescent="0.4">
      <c r="A15" s="117" t="s">
        <v>158</v>
      </c>
      <c r="B15" s="118">
        <v>248000000</v>
      </c>
      <c r="C15" s="119"/>
      <c r="D15" s="120">
        <v>0.56000000000000005</v>
      </c>
      <c r="E15" s="121">
        <f t="shared" si="0"/>
        <v>138880000</v>
      </c>
      <c r="F15" s="120">
        <f t="shared" si="1"/>
        <v>0.43999999999999995</v>
      </c>
      <c r="G15" s="121">
        <f t="shared" si="2"/>
        <v>109119999.99999999</v>
      </c>
    </row>
    <row r="16" spans="1:7" x14ac:dyDescent="0.4">
      <c r="A16" s="117" t="s">
        <v>159</v>
      </c>
      <c r="B16" s="118">
        <v>407000000</v>
      </c>
      <c r="C16" s="119"/>
      <c r="D16" s="120">
        <v>0.42</v>
      </c>
      <c r="E16" s="121">
        <f t="shared" si="0"/>
        <v>170940000</v>
      </c>
      <c r="F16" s="120">
        <f t="shared" si="1"/>
        <v>0.58000000000000007</v>
      </c>
      <c r="G16" s="121">
        <f t="shared" si="2"/>
        <v>236060000.00000003</v>
      </c>
    </row>
    <row r="17" spans="1:7" x14ac:dyDescent="0.4">
      <c r="A17" s="117" t="s">
        <v>160</v>
      </c>
      <c r="B17" s="118">
        <v>182000000</v>
      </c>
      <c r="C17" s="119"/>
      <c r="D17" s="120">
        <v>0.26</v>
      </c>
      <c r="E17" s="121">
        <f t="shared" si="0"/>
        <v>47320000</v>
      </c>
      <c r="F17" s="120">
        <f t="shared" si="1"/>
        <v>0.74</v>
      </c>
      <c r="G17" s="121">
        <f t="shared" si="2"/>
        <v>134680000</v>
      </c>
    </row>
    <row r="18" spans="1:7" x14ac:dyDescent="0.4">
      <c r="A18" s="117" t="s">
        <v>162</v>
      </c>
      <c r="B18" s="118">
        <v>68000000</v>
      </c>
      <c r="C18" s="119"/>
      <c r="D18" s="120">
        <v>0.62</v>
      </c>
      <c r="E18" s="121">
        <f t="shared" si="0"/>
        <v>42160000</v>
      </c>
      <c r="F18" s="120">
        <f t="shared" si="1"/>
        <v>0.38</v>
      </c>
      <c r="G18" s="121">
        <f t="shared" si="2"/>
        <v>25840000</v>
      </c>
    </row>
    <row r="19" spans="1:7" x14ac:dyDescent="0.4">
      <c r="A19" s="117" t="s">
        <v>161</v>
      </c>
      <c r="B19" s="118">
        <v>451000000</v>
      </c>
      <c r="C19" s="119"/>
      <c r="D19" s="120">
        <v>0.24</v>
      </c>
      <c r="E19" s="121">
        <f t="shared" si="0"/>
        <v>108240000</v>
      </c>
      <c r="F19" s="120">
        <f t="shared" si="1"/>
        <v>0.76</v>
      </c>
      <c r="G19" s="121">
        <f t="shared" si="2"/>
        <v>342760000</v>
      </c>
    </row>
    <row r="20" spans="1:7" x14ac:dyDescent="0.4">
      <c r="A20" s="37" t="s">
        <v>165</v>
      </c>
      <c r="B20" s="40">
        <v>75000000</v>
      </c>
      <c r="D20" s="41">
        <v>0.56999999999999995</v>
      </c>
      <c r="E20" s="42">
        <f t="shared" si="0"/>
        <v>42750000</v>
      </c>
      <c r="F20" s="41">
        <f t="shared" si="1"/>
        <v>0.43000000000000005</v>
      </c>
      <c r="G20" s="42">
        <f t="shared" si="2"/>
        <v>32250000.000000004</v>
      </c>
    </row>
    <row r="21" spans="1:7" x14ac:dyDescent="0.4">
      <c r="A21" s="35" t="s">
        <v>163</v>
      </c>
      <c r="B21" s="40">
        <v>282000000</v>
      </c>
      <c r="D21" s="41">
        <v>0.74</v>
      </c>
      <c r="E21" s="42">
        <f t="shared" si="0"/>
        <v>208680000</v>
      </c>
      <c r="F21" s="41">
        <f t="shared" si="1"/>
        <v>0.26</v>
      </c>
      <c r="G21" s="42">
        <f t="shared" si="2"/>
        <v>73320000</v>
      </c>
    </row>
    <row r="22" spans="1:7" x14ac:dyDescent="0.4">
      <c r="A22" s="35" t="s">
        <v>164</v>
      </c>
      <c r="B22" s="40">
        <v>1951000000</v>
      </c>
      <c r="D22" s="41">
        <v>0.42</v>
      </c>
      <c r="E22" s="42">
        <f t="shared" si="0"/>
        <v>819420000</v>
      </c>
      <c r="F22" s="41">
        <f t="shared" si="1"/>
        <v>0.58000000000000007</v>
      </c>
      <c r="G22" s="42">
        <f t="shared" si="2"/>
        <v>1131580000.0000002</v>
      </c>
    </row>
    <row r="23" spans="1:7" x14ac:dyDescent="0.4">
      <c r="A23" s="35" t="s">
        <v>208</v>
      </c>
      <c r="B23" s="40">
        <v>1680000000</v>
      </c>
      <c r="D23" s="41">
        <v>0.64</v>
      </c>
      <c r="E23" s="42">
        <f t="shared" si="0"/>
        <v>1075200000</v>
      </c>
      <c r="F23" s="41">
        <f t="shared" si="1"/>
        <v>0.36</v>
      </c>
      <c r="G23" s="42">
        <f t="shared" si="2"/>
        <v>604800000</v>
      </c>
    </row>
    <row r="24" spans="1:7" x14ac:dyDescent="0.4">
      <c r="A24" s="35" t="s">
        <v>209</v>
      </c>
      <c r="B24" s="40">
        <v>672000000</v>
      </c>
      <c r="D24" s="41">
        <v>0.69</v>
      </c>
      <c r="E24" s="42">
        <f t="shared" si="0"/>
        <v>463679999.99999994</v>
      </c>
      <c r="F24" s="41">
        <f t="shared" si="1"/>
        <v>0.31000000000000005</v>
      </c>
      <c r="G24" s="42">
        <f t="shared" si="2"/>
        <v>208320000.00000003</v>
      </c>
    </row>
    <row r="25" spans="1:7" x14ac:dyDescent="0.4">
      <c r="A25" s="36" t="s">
        <v>166</v>
      </c>
      <c r="B25" s="43">
        <v>43000000</v>
      </c>
      <c r="D25" s="44">
        <v>0.72</v>
      </c>
      <c r="E25" s="45">
        <f t="shared" si="0"/>
        <v>30960000</v>
      </c>
      <c r="F25" s="44">
        <f t="shared" si="1"/>
        <v>0.28000000000000003</v>
      </c>
      <c r="G25" s="45">
        <f t="shared" si="2"/>
        <v>12040000.000000002</v>
      </c>
    </row>
  </sheetData>
  <mergeCells count="2">
    <mergeCell ref="D5:E5"/>
    <mergeCell ref="F5:G5"/>
  </mergeCells>
  <hyperlinks>
    <hyperlink ref="A2" r:id="rId1" xr:uid="{70F6E526-CBF7-4AB3-AD58-AE30B2FFB58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1EC9-F082-4386-AD8F-7B7EB14AA695}">
  <dimension ref="A1:J57"/>
  <sheetViews>
    <sheetView workbookViewId="0">
      <selection activeCell="I8" sqref="I8"/>
    </sheetView>
  </sheetViews>
  <sheetFormatPr defaultRowHeight="14.6" x14ac:dyDescent="0.4"/>
  <cols>
    <col min="1" max="1" width="49.15234375" bestFit="1" customWidth="1"/>
    <col min="2" max="2" width="12.15234375" bestFit="1" customWidth="1"/>
    <col min="3" max="3" width="14.53515625" bestFit="1" customWidth="1"/>
    <col min="4" max="4" width="11.3046875" bestFit="1" customWidth="1"/>
    <col min="5" max="6" width="12.53515625" style="3" bestFit="1" customWidth="1"/>
    <col min="8" max="8" width="19.3046875" bestFit="1" customWidth="1"/>
    <col min="9" max="10" width="12.3046875" bestFit="1" customWidth="1"/>
  </cols>
  <sheetData>
    <row r="1" spans="1:10" x14ac:dyDescent="0.4">
      <c r="A1" s="2" t="s">
        <v>11</v>
      </c>
    </row>
    <row r="3" spans="1:10" x14ac:dyDescent="0.4">
      <c r="A3" t="s">
        <v>12</v>
      </c>
      <c r="B3" s="4" t="s">
        <v>13</v>
      </c>
      <c r="C3" t="s">
        <v>14</v>
      </c>
      <c r="D3" s="4" t="s">
        <v>15</v>
      </c>
      <c r="E3" s="3" t="s">
        <v>16</v>
      </c>
      <c r="F3" s="3" t="s">
        <v>17</v>
      </c>
      <c r="H3" t="s">
        <v>213</v>
      </c>
      <c r="I3">
        <v>2020</v>
      </c>
      <c r="J3">
        <v>2030</v>
      </c>
    </row>
    <row r="4" spans="1:10" x14ac:dyDescent="0.4">
      <c r="A4" t="s">
        <v>18</v>
      </c>
      <c r="B4" s="4" t="s">
        <v>19</v>
      </c>
      <c r="C4" t="s">
        <v>20</v>
      </c>
      <c r="D4" s="4" t="s">
        <v>21</v>
      </c>
      <c r="E4" s="3">
        <v>677243299</v>
      </c>
      <c r="F4" s="3">
        <v>863052000</v>
      </c>
      <c r="H4" t="s">
        <v>22</v>
      </c>
      <c r="I4" s="3">
        <f>E38</f>
        <v>367553264</v>
      </c>
      <c r="J4" s="3">
        <f>F38</f>
        <v>388573000</v>
      </c>
    </row>
    <row r="5" spans="1:10" x14ac:dyDescent="0.4">
      <c r="A5" t="s">
        <v>23</v>
      </c>
      <c r="B5" s="4" t="s">
        <v>24</v>
      </c>
      <c r="C5" t="s">
        <v>20</v>
      </c>
      <c r="D5" s="4" t="s">
        <v>21</v>
      </c>
      <c r="E5" s="3">
        <v>458803476</v>
      </c>
      <c r="F5" s="3">
        <v>589662000</v>
      </c>
      <c r="H5" t="s">
        <v>25</v>
      </c>
      <c r="I5" s="3">
        <f>E10+E46</f>
        <v>4217737481</v>
      </c>
      <c r="J5" s="3">
        <f>F10+F46</f>
        <v>4484414000</v>
      </c>
    </row>
    <row r="6" spans="1:10" x14ac:dyDescent="0.4">
      <c r="A6" t="s">
        <v>26</v>
      </c>
      <c r="B6" s="4" t="s">
        <v>27</v>
      </c>
      <c r="C6" t="s">
        <v>20</v>
      </c>
      <c r="D6" s="4" t="s">
        <v>21</v>
      </c>
      <c r="E6" s="3">
        <v>436080728</v>
      </c>
      <c r="F6" s="3">
        <v>519139000</v>
      </c>
      <c r="H6" t="s">
        <v>28</v>
      </c>
      <c r="I6" s="3">
        <f>E14</f>
        <v>923452178</v>
      </c>
      <c r="J6" s="3">
        <f>F14</f>
        <v>930851000</v>
      </c>
    </row>
    <row r="7" spans="1:10" x14ac:dyDescent="0.4">
      <c r="A7" t="s">
        <v>29</v>
      </c>
      <c r="B7" s="4" t="s">
        <v>30</v>
      </c>
      <c r="C7" t="s">
        <v>20</v>
      </c>
      <c r="D7" s="4" t="s">
        <v>21</v>
      </c>
      <c r="E7" s="3">
        <v>7442291</v>
      </c>
      <c r="F7" s="3">
        <v>7751000</v>
      </c>
      <c r="H7" t="s">
        <v>31</v>
      </c>
      <c r="I7" s="3">
        <f>E27</f>
        <v>652276325</v>
      </c>
      <c r="J7" s="3">
        <f>F27</f>
        <v>704173000</v>
      </c>
    </row>
    <row r="8" spans="1:10" x14ac:dyDescent="0.4">
      <c r="A8" s="5" t="s">
        <v>32</v>
      </c>
      <c r="B8" s="6" t="s">
        <v>33</v>
      </c>
      <c r="C8" s="5" t="s">
        <v>20</v>
      </c>
      <c r="D8" s="6" t="s">
        <v>21</v>
      </c>
      <c r="E8" s="7">
        <v>102253057</v>
      </c>
      <c r="F8" s="7">
        <v>98738000</v>
      </c>
      <c r="H8" t="s">
        <v>34</v>
      </c>
      <c r="I8" s="3">
        <f>E34+E48</f>
        <v>1600600898</v>
      </c>
      <c r="J8" s="3">
        <f>F34+F48</f>
        <v>1992179000</v>
      </c>
    </row>
    <row r="9" spans="1:10" x14ac:dyDescent="0.4">
      <c r="A9" t="s">
        <v>35</v>
      </c>
      <c r="B9" s="4" t="s">
        <v>36</v>
      </c>
      <c r="C9" t="s">
        <v>20</v>
      </c>
      <c r="D9" s="4" t="s">
        <v>21</v>
      </c>
      <c r="E9" s="3">
        <v>3332105361</v>
      </c>
      <c r="F9" s="3">
        <v>3723608000</v>
      </c>
    </row>
    <row r="10" spans="1:10" x14ac:dyDescent="0.4">
      <c r="A10" s="8" t="s">
        <v>37</v>
      </c>
      <c r="B10" s="9" t="s">
        <v>38</v>
      </c>
      <c r="C10" s="8" t="s">
        <v>20</v>
      </c>
      <c r="D10" s="9" t="s">
        <v>21</v>
      </c>
      <c r="E10" s="10">
        <v>2360855079</v>
      </c>
      <c r="F10" s="10">
        <v>2433438000</v>
      </c>
      <c r="H10" t="s">
        <v>39</v>
      </c>
      <c r="I10" s="3">
        <f>SUM(I4:I8)</f>
        <v>7761620146</v>
      </c>
      <c r="J10" s="3">
        <f>SUM(J4:J8)</f>
        <v>8500190000</v>
      </c>
    </row>
    <row r="11" spans="1:10" x14ac:dyDescent="0.4">
      <c r="A11" t="s">
        <v>40</v>
      </c>
      <c r="B11" s="4" t="s">
        <v>41</v>
      </c>
      <c r="C11" t="s">
        <v>20</v>
      </c>
      <c r="D11" s="4" t="s">
        <v>21</v>
      </c>
      <c r="E11" s="3">
        <v>2113820753</v>
      </c>
      <c r="F11" s="3">
        <v>2189075000</v>
      </c>
    </row>
    <row r="12" spans="1:10" x14ac:dyDescent="0.4">
      <c r="A12" t="s">
        <v>42</v>
      </c>
      <c r="B12" s="4" t="s">
        <v>43</v>
      </c>
      <c r="C12" t="s">
        <v>20</v>
      </c>
      <c r="D12" s="4" t="s">
        <v>21</v>
      </c>
      <c r="E12" s="3">
        <v>2088015667</v>
      </c>
      <c r="F12" s="3">
        <v>2162398000</v>
      </c>
    </row>
    <row r="13" spans="1:10" x14ac:dyDescent="0.4">
      <c r="A13" t="s">
        <v>44</v>
      </c>
      <c r="B13" s="4" t="s">
        <v>45</v>
      </c>
      <c r="C13" t="s">
        <v>20</v>
      </c>
      <c r="D13" s="4" t="s">
        <v>21</v>
      </c>
      <c r="E13" s="3">
        <v>342949773</v>
      </c>
      <c r="F13" s="3">
        <v>340814000</v>
      </c>
    </row>
    <row r="14" spans="1:10" x14ac:dyDescent="0.4">
      <c r="A14" s="11" t="s">
        <v>46</v>
      </c>
      <c r="B14" s="12" t="s">
        <v>47</v>
      </c>
      <c r="C14" s="11" t="s">
        <v>20</v>
      </c>
      <c r="D14" s="12" t="s">
        <v>21</v>
      </c>
      <c r="E14" s="13">
        <v>923452178</v>
      </c>
      <c r="F14" s="13">
        <v>930851000</v>
      </c>
    </row>
    <row r="15" spans="1:10" x14ac:dyDescent="0.4">
      <c r="A15" t="s">
        <v>48</v>
      </c>
      <c r="B15" s="4" t="s">
        <v>49</v>
      </c>
      <c r="C15" t="s">
        <v>20</v>
      </c>
      <c r="D15" s="4" t="s">
        <v>21</v>
      </c>
      <c r="E15" s="3">
        <v>420211696</v>
      </c>
      <c r="F15" s="3">
        <v>427283000</v>
      </c>
    </row>
    <row r="16" spans="1:10" x14ac:dyDescent="0.4">
      <c r="A16" t="s">
        <v>50</v>
      </c>
      <c r="B16" s="4" t="s">
        <v>51</v>
      </c>
      <c r="C16" t="s">
        <v>20</v>
      </c>
      <c r="D16" s="4" t="s">
        <v>21</v>
      </c>
      <c r="E16" s="3">
        <v>462209698</v>
      </c>
      <c r="F16" s="3">
        <v>468091000</v>
      </c>
    </row>
    <row r="17" spans="1:6" x14ac:dyDescent="0.4">
      <c r="A17" t="s">
        <v>52</v>
      </c>
      <c r="B17" s="4" t="s">
        <v>53</v>
      </c>
      <c r="C17" t="s">
        <v>20</v>
      </c>
      <c r="D17" s="4" t="s">
        <v>21</v>
      </c>
      <c r="E17" s="3">
        <v>447801418</v>
      </c>
      <c r="F17" s="3">
        <v>443364000</v>
      </c>
    </row>
    <row r="18" spans="1:6" x14ac:dyDescent="0.4">
      <c r="A18" t="s">
        <v>54</v>
      </c>
      <c r="B18" s="4" t="s">
        <v>55</v>
      </c>
      <c r="C18" t="s">
        <v>20</v>
      </c>
      <c r="D18" s="4" t="s">
        <v>21</v>
      </c>
      <c r="E18" s="3">
        <v>929989551</v>
      </c>
      <c r="F18" s="3">
        <v>1173133000</v>
      </c>
    </row>
    <row r="19" spans="1:6" x14ac:dyDescent="0.4">
      <c r="A19" t="s">
        <v>56</v>
      </c>
      <c r="B19" s="4" t="s">
        <v>57</v>
      </c>
      <c r="C19" t="s">
        <v>20</v>
      </c>
      <c r="D19" s="4" t="s">
        <v>21</v>
      </c>
      <c r="E19" s="3">
        <v>823480038</v>
      </c>
      <c r="F19" s="3">
        <v>1058784000</v>
      </c>
    </row>
    <row r="20" spans="1:6" x14ac:dyDescent="0.4">
      <c r="A20" t="s">
        <v>58</v>
      </c>
      <c r="B20" s="4" t="s">
        <v>59</v>
      </c>
      <c r="C20" t="s">
        <v>20</v>
      </c>
      <c r="D20" s="4" t="s">
        <v>21</v>
      </c>
      <c r="E20" s="3">
        <v>1214930230</v>
      </c>
      <c r="F20" s="3">
        <v>1242819000</v>
      </c>
    </row>
    <row r="21" spans="1:6" x14ac:dyDescent="0.4">
      <c r="A21" t="s">
        <v>60</v>
      </c>
      <c r="B21" s="4" t="s">
        <v>61</v>
      </c>
      <c r="C21" t="s">
        <v>20</v>
      </c>
      <c r="D21" s="4" t="s">
        <v>21</v>
      </c>
      <c r="E21" s="3" t="s">
        <v>62</v>
      </c>
      <c r="F21" s="3" t="s">
        <v>62</v>
      </c>
    </row>
    <row r="22" spans="1:6" x14ac:dyDescent="0.4">
      <c r="A22" t="s">
        <v>63</v>
      </c>
      <c r="B22" s="4" t="s">
        <v>64</v>
      </c>
      <c r="C22" t="s">
        <v>20</v>
      </c>
      <c r="D22" s="4" t="s">
        <v>21</v>
      </c>
      <c r="E22" s="3">
        <v>6570991956</v>
      </c>
      <c r="F22" s="3">
        <v>7279093000</v>
      </c>
    </row>
    <row r="23" spans="1:6" x14ac:dyDescent="0.4">
      <c r="A23" t="s">
        <v>65</v>
      </c>
      <c r="B23" s="4" t="s">
        <v>66</v>
      </c>
      <c r="C23" t="s">
        <v>20</v>
      </c>
      <c r="D23" s="4" t="s">
        <v>21</v>
      </c>
      <c r="E23" s="3" t="s">
        <v>62</v>
      </c>
      <c r="F23" s="3" t="s">
        <v>62</v>
      </c>
    </row>
    <row r="24" spans="1:6" x14ac:dyDescent="0.4">
      <c r="A24" t="s">
        <v>67</v>
      </c>
      <c r="B24" s="4" t="s">
        <v>68</v>
      </c>
      <c r="C24" t="s">
        <v>20</v>
      </c>
      <c r="D24" s="4" t="s">
        <v>21</v>
      </c>
      <c r="E24" s="3" t="s">
        <v>62</v>
      </c>
      <c r="F24" s="3" t="s">
        <v>62</v>
      </c>
    </row>
    <row r="25" spans="1:6" x14ac:dyDescent="0.4">
      <c r="A25" t="s">
        <v>69</v>
      </c>
      <c r="B25" s="4" t="s">
        <v>70</v>
      </c>
      <c r="C25" t="s">
        <v>20</v>
      </c>
      <c r="D25" s="4" t="s">
        <v>21</v>
      </c>
      <c r="E25" s="3" t="s">
        <v>62</v>
      </c>
      <c r="F25" s="3" t="s">
        <v>62</v>
      </c>
    </row>
    <row r="26" spans="1:6" x14ac:dyDescent="0.4">
      <c r="A26" t="s">
        <v>71</v>
      </c>
      <c r="B26" s="4" t="s">
        <v>72</v>
      </c>
      <c r="C26" t="s">
        <v>20</v>
      </c>
      <c r="D26" s="4" t="s">
        <v>21</v>
      </c>
      <c r="E26" s="3">
        <v>2316679176</v>
      </c>
      <c r="F26" s="3">
        <v>2363353000</v>
      </c>
    </row>
    <row r="27" spans="1:6" x14ac:dyDescent="0.4">
      <c r="A27" s="14" t="s">
        <v>73</v>
      </c>
      <c r="B27" s="15" t="s">
        <v>74</v>
      </c>
      <c r="C27" s="14" t="s">
        <v>20</v>
      </c>
      <c r="D27" s="15" t="s">
        <v>21</v>
      </c>
      <c r="E27" s="16">
        <v>652276325</v>
      </c>
      <c r="F27" s="16">
        <v>704173000</v>
      </c>
    </row>
    <row r="28" spans="1:6" x14ac:dyDescent="0.4">
      <c r="A28" t="s">
        <v>75</v>
      </c>
      <c r="B28" s="4" t="s">
        <v>76</v>
      </c>
      <c r="C28" t="s">
        <v>20</v>
      </c>
      <c r="D28" s="4" t="s">
        <v>21</v>
      </c>
      <c r="E28" s="3">
        <v>595242966</v>
      </c>
      <c r="F28" s="3">
        <v>641478000</v>
      </c>
    </row>
    <row r="29" spans="1:6" x14ac:dyDescent="0.4">
      <c r="A29" t="s">
        <v>77</v>
      </c>
      <c r="B29" s="4" t="s">
        <v>78</v>
      </c>
      <c r="C29" t="s">
        <v>20</v>
      </c>
      <c r="D29" s="4" t="s">
        <v>21</v>
      </c>
      <c r="E29" s="3">
        <v>636492840</v>
      </c>
      <c r="F29" s="3">
        <v>688563000</v>
      </c>
    </row>
    <row r="30" spans="1:6" x14ac:dyDescent="0.4">
      <c r="A30" t="s">
        <v>79</v>
      </c>
      <c r="B30" s="4" t="s">
        <v>80</v>
      </c>
      <c r="C30" t="s">
        <v>20</v>
      </c>
      <c r="D30" s="4" t="s">
        <v>21</v>
      </c>
      <c r="E30" s="3">
        <v>1057438163</v>
      </c>
      <c r="F30" s="3">
        <v>1313758000</v>
      </c>
    </row>
    <row r="31" spans="1:6" x14ac:dyDescent="0.4">
      <c r="A31" t="s">
        <v>81</v>
      </c>
      <c r="B31" s="4" t="s">
        <v>82</v>
      </c>
      <c r="C31" t="s">
        <v>20</v>
      </c>
      <c r="D31" s="4" t="s">
        <v>21</v>
      </c>
      <c r="E31" s="3">
        <v>6518253973</v>
      </c>
      <c r="F31" s="3">
        <v>7223745000</v>
      </c>
    </row>
    <row r="32" spans="1:6" x14ac:dyDescent="0.4">
      <c r="A32" t="s">
        <v>83</v>
      </c>
      <c r="B32" s="4" t="s">
        <v>84</v>
      </c>
      <c r="C32" t="s">
        <v>20</v>
      </c>
      <c r="D32" s="4" t="s">
        <v>21</v>
      </c>
      <c r="E32" s="3">
        <v>665149035</v>
      </c>
      <c r="F32" s="3">
        <v>856380000</v>
      </c>
    </row>
    <row r="33" spans="1:6" x14ac:dyDescent="0.4">
      <c r="A33" t="s">
        <v>85</v>
      </c>
      <c r="B33" s="4" t="s">
        <v>86</v>
      </c>
      <c r="C33" t="s">
        <v>20</v>
      </c>
      <c r="D33" s="4" t="s">
        <v>21</v>
      </c>
      <c r="E33" s="3">
        <v>3330652547</v>
      </c>
      <c r="F33" s="3">
        <v>3764365000</v>
      </c>
    </row>
    <row r="34" spans="1:6" x14ac:dyDescent="0.4">
      <c r="A34" s="17" t="s">
        <v>87</v>
      </c>
      <c r="B34" s="18" t="s">
        <v>88</v>
      </c>
      <c r="C34" s="17" t="s">
        <v>20</v>
      </c>
      <c r="D34" s="18" t="s">
        <v>21</v>
      </c>
      <c r="E34" s="19">
        <v>464554123</v>
      </c>
      <c r="F34" s="19">
        <v>539465000</v>
      </c>
    </row>
    <row r="35" spans="1:6" x14ac:dyDescent="0.4">
      <c r="A35" t="s">
        <v>89</v>
      </c>
      <c r="B35" s="4" t="s">
        <v>90</v>
      </c>
      <c r="C35" t="s">
        <v>20</v>
      </c>
      <c r="D35" s="4" t="s">
        <v>21</v>
      </c>
      <c r="E35" s="3">
        <v>396147843</v>
      </c>
      <c r="F35" s="3">
        <v>462322000</v>
      </c>
    </row>
    <row r="36" spans="1:6" x14ac:dyDescent="0.4">
      <c r="A36" t="s">
        <v>91</v>
      </c>
      <c r="B36" s="4" t="s">
        <v>92</v>
      </c>
      <c r="C36" t="s">
        <v>20</v>
      </c>
      <c r="D36" s="4" t="s">
        <v>21</v>
      </c>
      <c r="E36" s="3">
        <v>391344574</v>
      </c>
      <c r="F36" s="3">
        <v>456351000</v>
      </c>
    </row>
    <row r="37" spans="1:6" x14ac:dyDescent="0.4">
      <c r="A37" t="s">
        <v>93</v>
      </c>
      <c r="B37" s="4" t="s">
        <v>94</v>
      </c>
      <c r="C37" t="s">
        <v>20</v>
      </c>
      <c r="D37" s="4" t="s">
        <v>21</v>
      </c>
      <c r="E37" s="3">
        <v>5853104938</v>
      </c>
      <c r="F37" s="3">
        <v>6367365000</v>
      </c>
    </row>
    <row r="38" spans="1:6" x14ac:dyDescent="0.4">
      <c r="A38" s="20" t="s">
        <v>22</v>
      </c>
      <c r="B38" s="21" t="s">
        <v>95</v>
      </c>
      <c r="C38" s="20" t="s">
        <v>20</v>
      </c>
      <c r="D38" s="21" t="s">
        <v>21</v>
      </c>
      <c r="E38" s="22">
        <v>367553264</v>
      </c>
      <c r="F38" s="22">
        <v>388573000</v>
      </c>
    </row>
    <row r="39" spans="1:6" x14ac:dyDescent="0.4">
      <c r="A39" t="s">
        <v>96</v>
      </c>
      <c r="B39" s="4" t="s">
        <v>97</v>
      </c>
      <c r="C39" t="s">
        <v>20</v>
      </c>
      <c r="D39" s="4" t="s">
        <v>21</v>
      </c>
      <c r="E39" s="3" t="s">
        <v>62</v>
      </c>
      <c r="F39" s="3" t="s">
        <v>62</v>
      </c>
    </row>
    <row r="40" spans="1:6" x14ac:dyDescent="0.4">
      <c r="A40" t="s">
        <v>98</v>
      </c>
      <c r="B40" s="4" t="s">
        <v>99</v>
      </c>
      <c r="C40" t="s">
        <v>20</v>
      </c>
      <c r="D40" s="4" t="s">
        <v>21</v>
      </c>
      <c r="E40" s="3">
        <v>1370858752</v>
      </c>
      <c r="F40" s="3">
        <v>1409966000</v>
      </c>
    </row>
    <row r="41" spans="1:6" x14ac:dyDescent="0.4">
      <c r="A41" t="s">
        <v>100</v>
      </c>
      <c r="B41" s="4" t="s">
        <v>101</v>
      </c>
      <c r="C41" t="s">
        <v>20</v>
      </c>
      <c r="D41" s="4" t="s">
        <v>21</v>
      </c>
      <c r="E41" s="3">
        <v>31941374</v>
      </c>
      <c r="F41" s="3">
        <v>36956000</v>
      </c>
    </row>
    <row r="42" spans="1:6" x14ac:dyDescent="0.4">
      <c r="A42" t="s">
        <v>102</v>
      </c>
      <c r="B42" s="4" t="s">
        <v>103</v>
      </c>
      <c r="C42" t="s">
        <v>20</v>
      </c>
      <c r="D42" s="4" t="s">
        <v>21</v>
      </c>
      <c r="E42" s="3">
        <v>2528958</v>
      </c>
      <c r="F42" s="3">
        <v>2923000</v>
      </c>
    </row>
    <row r="43" spans="1:6" x14ac:dyDescent="0.4">
      <c r="A43" t="s">
        <v>104</v>
      </c>
      <c r="B43" s="4" t="s">
        <v>105</v>
      </c>
      <c r="C43" t="s">
        <v>20</v>
      </c>
      <c r="D43" s="4" t="s">
        <v>21</v>
      </c>
      <c r="E43" s="3">
        <v>1115104266</v>
      </c>
      <c r="F43" s="3">
        <v>1130613000</v>
      </c>
    </row>
    <row r="44" spans="1:6" x14ac:dyDescent="0.4">
      <c r="A44" t="s">
        <v>106</v>
      </c>
      <c r="B44" s="4" t="s">
        <v>107</v>
      </c>
      <c r="C44" t="s">
        <v>20</v>
      </c>
      <c r="D44" s="4" t="s">
        <v>21</v>
      </c>
      <c r="E44" s="3">
        <v>970795671</v>
      </c>
      <c r="F44" s="3">
        <v>1255612000</v>
      </c>
    </row>
    <row r="45" spans="1:6" x14ac:dyDescent="0.4">
      <c r="A45" t="s">
        <v>108</v>
      </c>
      <c r="B45" s="4" t="s">
        <v>109</v>
      </c>
      <c r="C45" t="s">
        <v>20</v>
      </c>
      <c r="D45" s="4" t="s">
        <v>21</v>
      </c>
      <c r="E45" s="3">
        <v>41912623</v>
      </c>
      <c r="F45" s="3">
        <v>47630000</v>
      </c>
    </row>
    <row r="46" spans="1:6" x14ac:dyDescent="0.4">
      <c r="A46" s="8" t="s">
        <v>110</v>
      </c>
      <c r="B46" s="9" t="s">
        <v>111</v>
      </c>
      <c r="C46" s="8" t="s">
        <v>20</v>
      </c>
      <c r="D46" s="9" t="s">
        <v>21</v>
      </c>
      <c r="E46" s="10">
        <v>1856882402</v>
      </c>
      <c r="F46" s="10">
        <v>2050976000</v>
      </c>
    </row>
    <row r="47" spans="1:6" x14ac:dyDescent="0.4">
      <c r="A47" t="s">
        <v>112</v>
      </c>
      <c r="B47" s="4" t="s">
        <v>113</v>
      </c>
      <c r="C47" t="s">
        <v>20</v>
      </c>
      <c r="D47" s="4" t="s">
        <v>21</v>
      </c>
      <c r="E47" s="3">
        <v>1856882402</v>
      </c>
      <c r="F47" s="3">
        <v>2050976000</v>
      </c>
    </row>
    <row r="48" spans="1:6" x14ac:dyDescent="0.4">
      <c r="A48" s="17" t="s">
        <v>114</v>
      </c>
      <c r="B48" s="18" t="s">
        <v>115</v>
      </c>
      <c r="C48" s="17" t="s">
        <v>20</v>
      </c>
      <c r="D48" s="18" t="s">
        <v>21</v>
      </c>
      <c r="E48" s="19">
        <v>1136046775</v>
      </c>
      <c r="F48" s="19">
        <v>1452714000</v>
      </c>
    </row>
    <row r="49" spans="1:6" x14ac:dyDescent="0.4">
      <c r="A49" t="s">
        <v>116</v>
      </c>
      <c r="B49" s="4" t="s">
        <v>117</v>
      </c>
      <c r="C49" t="s">
        <v>20</v>
      </c>
      <c r="D49" s="4" t="s">
        <v>21</v>
      </c>
      <c r="E49" s="3">
        <v>1135948313</v>
      </c>
      <c r="F49" s="3">
        <v>1452611000</v>
      </c>
    </row>
    <row r="50" spans="1:6" x14ac:dyDescent="0.4">
      <c r="A50" t="s">
        <v>118</v>
      </c>
      <c r="B50" s="4" t="s">
        <v>119</v>
      </c>
      <c r="C50" t="s">
        <v>20</v>
      </c>
      <c r="D50" s="4" t="s">
        <v>21</v>
      </c>
      <c r="E50" s="3">
        <v>1136046775</v>
      </c>
      <c r="F50" s="3">
        <v>1452714000</v>
      </c>
    </row>
    <row r="51" spans="1:6" x14ac:dyDescent="0.4">
      <c r="A51" t="s">
        <v>120</v>
      </c>
      <c r="B51" s="4" t="s">
        <v>121</v>
      </c>
      <c r="C51" t="s">
        <v>20</v>
      </c>
      <c r="D51" s="4" t="s">
        <v>21</v>
      </c>
      <c r="E51" s="3">
        <v>2522452391</v>
      </c>
      <c r="F51" s="3">
        <v>2603000000</v>
      </c>
    </row>
    <row r="52" spans="1:6" x14ac:dyDescent="0.4">
      <c r="A52" s="23" t="s">
        <v>39</v>
      </c>
      <c r="B52" s="24" t="s">
        <v>122</v>
      </c>
      <c r="C52" s="23" t="s">
        <v>20</v>
      </c>
      <c r="D52" s="24" t="s">
        <v>21</v>
      </c>
      <c r="E52" s="25">
        <v>7761620146</v>
      </c>
      <c r="F52" s="25">
        <v>8500190000</v>
      </c>
    </row>
    <row r="53" spans="1:6" x14ac:dyDescent="0.4">
      <c r="B53" s="4"/>
      <c r="D53" s="4"/>
    </row>
    <row r="54" spans="1:6" x14ac:dyDescent="0.4">
      <c r="B54" s="4"/>
      <c r="D54" s="4"/>
    </row>
    <row r="55" spans="1:6" x14ac:dyDescent="0.4">
      <c r="B55" s="4"/>
      <c r="D55" s="4"/>
    </row>
    <row r="56" spans="1:6" x14ac:dyDescent="0.4">
      <c r="A56" t="s">
        <v>123</v>
      </c>
      <c r="B56" s="4"/>
      <c r="D56" s="4"/>
    </row>
    <row r="57" spans="1:6" x14ac:dyDescent="0.4">
      <c r="A57" t="s">
        <v>124</v>
      </c>
    </row>
  </sheetData>
  <hyperlinks>
    <hyperlink ref="A1" r:id="rId1" display="https://databank.worldbank.org/source/population-estimates-and-projections" xr:uid="{721E8B2E-9374-4633-99E8-B05DEB41A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580A-22AC-452B-A361-5C2AC0EF09A1}">
  <dimension ref="A1:D68"/>
  <sheetViews>
    <sheetView showGridLines="0" zoomScale="85" zoomScaleNormal="85" workbookViewId="0">
      <selection activeCell="E25" sqref="E25"/>
    </sheetView>
  </sheetViews>
  <sheetFormatPr defaultRowHeight="14.6" x14ac:dyDescent="0.4"/>
  <cols>
    <col min="1" max="1" width="20.69140625" customWidth="1"/>
    <col min="2" max="2" width="14.3046875" bestFit="1" customWidth="1"/>
    <col min="3" max="3" width="14.3828125" customWidth="1"/>
    <col min="4" max="4" width="101.3828125" customWidth="1"/>
  </cols>
  <sheetData>
    <row r="1" spans="1:4" x14ac:dyDescent="0.4">
      <c r="A1" s="46" t="s">
        <v>441</v>
      </c>
      <c r="B1" s="48" t="s">
        <v>622</v>
      </c>
      <c r="C1" s="68" t="s">
        <v>623</v>
      </c>
      <c r="D1" s="129" t="s">
        <v>600</v>
      </c>
    </row>
    <row r="2" spans="1:4" s="56" customFormat="1" ht="29.15" x14ac:dyDescent="0.4">
      <c r="A2" s="73" t="s">
        <v>170</v>
      </c>
      <c r="B2" s="127">
        <v>2</v>
      </c>
      <c r="C2" s="91">
        <f>2*365</f>
        <v>730</v>
      </c>
      <c r="D2" s="86" t="s">
        <v>632</v>
      </c>
    </row>
    <row r="3" spans="1:4" s="56" customFormat="1" ht="43.75" x14ac:dyDescent="0.4">
      <c r="A3" s="73" t="s">
        <v>2</v>
      </c>
      <c r="B3" s="73">
        <v>2.27</v>
      </c>
      <c r="C3" s="91">
        <f>ROUND((2*365)+(27*365/60),0)</f>
        <v>894</v>
      </c>
      <c r="D3" s="86" t="s">
        <v>629</v>
      </c>
    </row>
    <row r="4" spans="1:4" s="56" customFormat="1" ht="43.75" x14ac:dyDescent="0.4">
      <c r="A4" s="73" t="s">
        <v>135</v>
      </c>
      <c r="B4" s="127">
        <v>2.17</v>
      </c>
      <c r="C4" s="91">
        <f>ROUND((2*365)+(17*365/60),0)</f>
        <v>833</v>
      </c>
      <c r="D4" s="86" t="s">
        <v>630</v>
      </c>
    </row>
    <row r="5" spans="1:4" s="56" customFormat="1" x14ac:dyDescent="0.4">
      <c r="A5" s="73" t="s">
        <v>174</v>
      </c>
      <c r="B5" s="73">
        <v>1.33</v>
      </c>
      <c r="C5" s="91">
        <f>ROUND((1*365)+(33*365/60),0)</f>
        <v>566</v>
      </c>
      <c r="D5" s="86" t="s">
        <v>625</v>
      </c>
    </row>
    <row r="6" spans="1:4" s="56" customFormat="1" ht="43.75" x14ac:dyDescent="0.4">
      <c r="A6" s="73" t="s">
        <v>193</v>
      </c>
      <c r="B6" s="127">
        <f>(4/7)*0.6</f>
        <v>0.3428571428571428</v>
      </c>
      <c r="C6" s="91">
        <f>ROUND((34*365/60),0)</f>
        <v>207</v>
      </c>
      <c r="D6" s="86" t="s">
        <v>631</v>
      </c>
    </row>
    <row r="7" spans="1:4" x14ac:dyDescent="0.4">
      <c r="A7" s="70"/>
      <c r="B7" s="134"/>
      <c r="C7" s="99"/>
      <c r="D7" s="93"/>
    </row>
    <row r="8" spans="1:4" x14ac:dyDescent="0.4">
      <c r="B8" s="98"/>
      <c r="C8" s="96"/>
    </row>
    <row r="9" spans="1:4" x14ac:dyDescent="0.4">
      <c r="C9" s="2"/>
    </row>
    <row r="10" spans="1:4" x14ac:dyDescent="0.4">
      <c r="C10" s="2"/>
    </row>
    <row r="11" spans="1:4" x14ac:dyDescent="0.4">
      <c r="A11" s="87"/>
      <c r="B11" s="88"/>
      <c r="C11" s="2"/>
    </row>
    <row r="12" spans="1:4" x14ac:dyDescent="0.4">
      <c r="A12" s="87"/>
      <c r="B12" s="87"/>
      <c r="C12" s="97"/>
    </row>
    <row r="13" spans="1:4" x14ac:dyDescent="0.4">
      <c r="A13" s="87"/>
      <c r="B13" s="87"/>
      <c r="C13" s="100"/>
    </row>
    <row r="14" spans="1:4" x14ac:dyDescent="0.4">
      <c r="A14" s="87"/>
      <c r="B14" s="87"/>
      <c r="C14" s="98"/>
    </row>
    <row r="15" spans="1:4" x14ac:dyDescent="0.4">
      <c r="A15" s="87"/>
      <c r="B15" s="87"/>
    </row>
    <row r="16" spans="1:4" x14ac:dyDescent="0.4">
      <c r="A16" s="87"/>
      <c r="B16" s="87"/>
    </row>
    <row r="17" spans="1:3" x14ac:dyDescent="0.4">
      <c r="C17" s="89"/>
    </row>
    <row r="18" spans="1:3" x14ac:dyDescent="0.4">
      <c r="A18" s="87"/>
      <c r="B18" s="87"/>
      <c r="C18" s="89"/>
    </row>
    <row r="19" spans="1:3" x14ac:dyDescent="0.4">
      <c r="A19" s="87"/>
      <c r="B19" s="87"/>
      <c r="C19" s="89"/>
    </row>
    <row r="20" spans="1:3" x14ac:dyDescent="0.4">
      <c r="A20" s="87"/>
      <c r="B20" s="87"/>
      <c r="C20" s="87"/>
    </row>
    <row r="25" spans="1:3" x14ac:dyDescent="0.4">
      <c r="A25" s="89"/>
      <c r="B25" s="89"/>
      <c r="C25" s="89"/>
    </row>
    <row r="26" spans="1:3" x14ac:dyDescent="0.4">
      <c r="A26" s="87"/>
      <c r="B26" s="87"/>
      <c r="C26" s="87"/>
    </row>
    <row r="28" spans="1:3" x14ac:dyDescent="0.4">
      <c r="A28" s="87"/>
      <c r="B28" s="87"/>
      <c r="C28" s="87"/>
    </row>
    <row r="33" spans="1:3" x14ac:dyDescent="0.4">
      <c r="A33" s="87"/>
      <c r="B33" s="87"/>
      <c r="C33" s="87"/>
    </row>
    <row r="35" spans="1:3" x14ac:dyDescent="0.4">
      <c r="A35" s="87"/>
      <c r="B35" s="87"/>
      <c r="C35" s="87"/>
    </row>
    <row r="40" spans="1:3" x14ac:dyDescent="0.4">
      <c r="A40" s="87"/>
      <c r="B40" s="87"/>
      <c r="C40" s="87"/>
    </row>
    <row r="43" spans="1:3" x14ac:dyDescent="0.4">
      <c r="A43" s="87"/>
      <c r="B43" s="87"/>
      <c r="C43" s="87"/>
    </row>
    <row r="49" spans="1:3" x14ac:dyDescent="0.4">
      <c r="A49" s="87"/>
      <c r="B49" s="87"/>
      <c r="C49" s="87"/>
    </row>
    <row r="52" spans="1:3" x14ac:dyDescent="0.4">
      <c r="A52" s="87"/>
      <c r="B52" s="87"/>
      <c r="C52" s="87"/>
    </row>
    <row r="54" spans="1:3" x14ac:dyDescent="0.4">
      <c r="A54" s="87"/>
      <c r="B54" s="87"/>
      <c r="C54" s="87"/>
    </row>
    <row r="55" spans="1:3" x14ac:dyDescent="0.4">
      <c r="A55" s="87"/>
      <c r="B55" s="87"/>
      <c r="C55" s="87"/>
    </row>
    <row r="56" spans="1:3" x14ac:dyDescent="0.4">
      <c r="A56" s="87"/>
      <c r="B56" s="87"/>
      <c r="C56" s="87"/>
    </row>
    <row r="57" spans="1:3" x14ac:dyDescent="0.4">
      <c r="A57" s="87"/>
      <c r="B57" s="87"/>
      <c r="C57" s="87"/>
    </row>
    <row r="60" spans="1:3" x14ac:dyDescent="0.4">
      <c r="A60" s="87"/>
      <c r="B60" s="87"/>
      <c r="C60" s="87"/>
    </row>
    <row r="62" spans="1:3" x14ac:dyDescent="0.4">
      <c r="A62" s="87"/>
      <c r="B62" s="87"/>
      <c r="C62" s="87"/>
    </row>
    <row r="68" spans="1:3" x14ac:dyDescent="0.4">
      <c r="A68" s="88"/>
      <c r="B68" s="88"/>
      <c r="C68"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D81A-466E-4B0E-B937-7E6ADDD1B384}">
  <dimension ref="A1:W23"/>
  <sheetViews>
    <sheetView showGridLines="0" tabSelected="1" zoomScale="85" zoomScaleNormal="85" workbookViewId="0">
      <pane xSplit="1" ySplit="3" topLeftCell="B4" activePane="bottomRight" state="frozen"/>
      <selection pane="topRight" activeCell="B1" sqref="B1"/>
      <selection pane="bottomLeft" activeCell="A4" sqref="A4"/>
      <selection pane="bottomRight" activeCell="R20" sqref="R20"/>
    </sheetView>
  </sheetViews>
  <sheetFormatPr defaultRowHeight="14.6" x14ac:dyDescent="0.4"/>
  <cols>
    <col min="1" max="1" width="41.69140625" bestFit="1" customWidth="1"/>
    <col min="2" max="22" width="11.84375" bestFit="1" customWidth="1"/>
  </cols>
  <sheetData>
    <row r="1" spans="1:23" ht="15.9" x14ac:dyDescent="0.45">
      <c r="B1" s="224" t="s">
        <v>451</v>
      </c>
      <c r="C1" s="224"/>
      <c r="D1" s="224"/>
      <c r="E1" s="224"/>
      <c r="F1" s="224"/>
      <c r="G1" s="224"/>
      <c r="H1" s="224"/>
      <c r="I1" s="225" t="s">
        <v>452</v>
      </c>
      <c r="J1" s="226"/>
      <c r="K1" s="226"/>
      <c r="L1" s="226"/>
      <c r="M1" s="226"/>
      <c r="N1" s="226"/>
      <c r="O1" s="227"/>
      <c r="P1" s="225" t="s">
        <v>453</v>
      </c>
      <c r="Q1" s="226"/>
      <c r="R1" s="226"/>
      <c r="S1" s="226"/>
      <c r="T1" s="226"/>
      <c r="U1" s="226"/>
      <c r="V1" s="227"/>
    </row>
    <row r="2" spans="1:23" ht="193.5" customHeight="1" x14ac:dyDescent="0.4">
      <c r="B2" s="228" t="s">
        <v>651</v>
      </c>
      <c r="C2" s="229"/>
      <c r="D2" s="229"/>
      <c r="E2" s="229"/>
      <c r="F2" s="229"/>
      <c r="G2" s="229"/>
      <c r="H2" s="230"/>
      <c r="I2" s="228" t="s">
        <v>660</v>
      </c>
      <c r="J2" s="229"/>
      <c r="K2" s="229"/>
      <c r="L2" s="229"/>
      <c r="M2" s="229"/>
      <c r="N2" s="229"/>
      <c r="O2" s="230"/>
      <c r="P2" s="228" t="s">
        <v>652</v>
      </c>
      <c r="Q2" s="229"/>
      <c r="R2" s="229"/>
      <c r="S2" s="229"/>
      <c r="T2" s="229"/>
      <c r="U2" s="229"/>
      <c r="V2" s="230"/>
    </row>
    <row r="3" spans="1:23" x14ac:dyDescent="0.4">
      <c r="A3" s="46" t="s">
        <v>441</v>
      </c>
      <c r="B3" s="81" t="s">
        <v>645</v>
      </c>
      <c r="C3" s="81" t="s">
        <v>646</v>
      </c>
      <c r="D3" s="81" t="s">
        <v>647</v>
      </c>
      <c r="E3" s="81" t="s">
        <v>648</v>
      </c>
      <c r="F3" s="81" t="s">
        <v>438</v>
      </c>
      <c r="G3" s="81" t="s">
        <v>439</v>
      </c>
      <c r="H3" s="81" t="s">
        <v>621</v>
      </c>
      <c r="I3" s="81" t="s">
        <v>645</v>
      </c>
      <c r="J3" s="81" t="s">
        <v>646</v>
      </c>
      <c r="K3" s="81" t="s">
        <v>647</v>
      </c>
      <c r="L3" s="81" t="s">
        <v>648</v>
      </c>
      <c r="M3" s="81" t="s">
        <v>438</v>
      </c>
      <c r="N3" s="81" t="s">
        <v>439</v>
      </c>
      <c r="O3" s="81" t="s">
        <v>621</v>
      </c>
      <c r="P3" s="81" t="s">
        <v>645</v>
      </c>
      <c r="Q3" s="81" t="s">
        <v>646</v>
      </c>
      <c r="R3" s="81" t="s">
        <v>647</v>
      </c>
      <c r="S3" s="81" t="s">
        <v>648</v>
      </c>
      <c r="T3" s="81" t="s">
        <v>438</v>
      </c>
      <c r="U3" s="81" t="s">
        <v>439</v>
      </c>
      <c r="V3" s="81" t="s">
        <v>621</v>
      </c>
    </row>
    <row r="4" spans="1:23" x14ac:dyDescent="0.4">
      <c r="A4" s="1" t="s">
        <v>633</v>
      </c>
      <c r="B4" s="135">
        <f>Digital_Content_Consumption!C2</f>
        <v>730</v>
      </c>
      <c r="C4" s="135"/>
      <c r="D4" s="135"/>
      <c r="E4" s="135"/>
      <c r="F4" s="135"/>
      <c r="G4" s="135"/>
      <c r="H4" s="135"/>
      <c r="I4" s="136">
        <f>Digital_Content_Consumption!$C2*0.5</f>
        <v>365</v>
      </c>
      <c r="J4" s="136">
        <f>Digital_Content_Consumption!$C2*0.15</f>
        <v>109.5</v>
      </c>
      <c r="K4" s="136">
        <f>Digital_Content_Consumption!$C2*0.25</f>
        <v>182.5</v>
      </c>
      <c r="L4" s="136">
        <f>Digital_Content_Consumption!$C2*0.1</f>
        <v>73</v>
      </c>
      <c r="M4" s="135"/>
      <c r="N4" s="135"/>
      <c r="O4" s="135"/>
      <c r="P4" s="136">
        <f>Digital_Content_Consumption!$C2*0.5</f>
        <v>365</v>
      </c>
      <c r="Q4" s="136">
        <f>Digital_Content_Consumption!$C2*0.15</f>
        <v>109.5</v>
      </c>
      <c r="R4" s="136">
        <f>Digital_Content_Consumption!$C2*0.25</f>
        <v>182.5</v>
      </c>
      <c r="S4" s="136">
        <f>Digital_Content_Consumption!$C2*0.1</f>
        <v>73</v>
      </c>
      <c r="T4" s="136"/>
      <c r="U4" s="136"/>
      <c r="V4" s="136"/>
    </row>
    <row r="5" spans="1:23" x14ac:dyDescent="0.4">
      <c r="A5" s="66" t="s">
        <v>634</v>
      </c>
      <c r="B5" s="136">
        <f>Digital_Content_Consumption!$C3</f>
        <v>894</v>
      </c>
      <c r="C5" s="135"/>
      <c r="D5" s="135"/>
      <c r="E5" s="135"/>
      <c r="F5" s="135"/>
      <c r="G5" s="135"/>
      <c r="H5" s="135"/>
      <c r="I5" s="136">
        <f>Digital_Content_Consumption!$C3*0.83</f>
        <v>742.02</v>
      </c>
      <c r="J5" s="136">
        <f>Digital_Content_Consumption!$C3*0.17*1/3</f>
        <v>50.660000000000004</v>
      </c>
      <c r="K5" s="136">
        <f>Digital_Content_Consumption!$C3*0.17*1/3</f>
        <v>50.660000000000004</v>
      </c>
      <c r="L5" s="136">
        <f>Digital_Content_Consumption!$C3*0.17*1/3</f>
        <v>50.660000000000004</v>
      </c>
      <c r="M5" s="135"/>
      <c r="N5" s="135"/>
      <c r="O5" s="135"/>
      <c r="P5" s="136">
        <f>Digital_Content_Consumption!$C3*0.83</f>
        <v>742.02</v>
      </c>
      <c r="Q5" s="136">
        <f>Digital_Content_Consumption!$C3*0.17*1/3</f>
        <v>50.660000000000004</v>
      </c>
      <c r="R5" s="136">
        <f>Digital_Content_Consumption!$C3*0.17*1/3</f>
        <v>50.660000000000004</v>
      </c>
      <c r="S5" s="136">
        <f>Digital_Content_Consumption!$C3*0.17*1/3</f>
        <v>50.660000000000004</v>
      </c>
      <c r="T5" s="136"/>
      <c r="U5" s="136"/>
      <c r="V5" s="136"/>
    </row>
    <row r="6" spans="1:23" x14ac:dyDescent="0.4">
      <c r="A6" s="79" t="s">
        <v>635</v>
      </c>
      <c r="B6" s="136">
        <f>Digital_Content_Consumption!$C4*0.5</f>
        <v>416.5</v>
      </c>
      <c r="C6" s="136"/>
      <c r="D6" s="136">
        <f>Digital_Content_Consumption!$C4*0.5</f>
        <v>416.5</v>
      </c>
      <c r="E6" s="135"/>
      <c r="F6" s="135"/>
      <c r="G6" s="135"/>
      <c r="H6" s="135"/>
      <c r="J6" s="135"/>
      <c r="K6" s="135"/>
      <c r="L6" s="135"/>
      <c r="M6" s="135"/>
      <c r="N6" s="135"/>
      <c r="O6" s="135"/>
      <c r="P6" s="136"/>
      <c r="Q6" s="136"/>
      <c r="R6" s="136"/>
      <c r="S6" s="136"/>
      <c r="T6" s="136"/>
      <c r="U6" s="136"/>
      <c r="V6" s="136"/>
    </row>
    <row r="7" spans="1:23" x14ac:dyDescent="0.4">
      <c r="A7" s="79" t="s">
        <v>636</v>
      </c>
      <c r="B7" s="135"/>
      <c r="C7" s="135"/>
      <c r="D7" s="135"/>
      <c r="E7" s="135"/>
      <c r="F7" s="135"/>
      <c r="G7" s="135"/>
      <c r="H7" s="135"/>
      <c r="I7" s="136">
        <f>Digital_Content_Consumption!$C$4*0.31*0.5</f>
        <v>129.11500000000001</v>
      </c>
      <c r="J7" s="136">
        <f>Digital_Content_Consumption!$C$4*0.16*0.5</f>
        <v>66.64</v>
      </c>
      <c r="K7" s="136">
        <f>Digital_Content_Consumption!$C$4*0.28*0.5*0.5</f>
        <v>58.31</v>
      </c>
      <c r="L7" s="136">
        <f>Digital_Content_Consumption!$C$4*0.28*0.5*0.5</f>
        <v>58.31</v>
      </c>
      <c r="M7" s="136">
        <f>Digital_Content_Consumption!$C$4*0.25*0.5</f>
        <v>104.125</v>
      </c>
      <c r="N7" s="136"/>
      <c r="O7" s="135"/>
      <c r="P7" s="136"/>
      <c r="Q7" s="136"/>
      <c r="R7" s="136"/>
      <c r="S7" s="136"/>
      <c r="T7" s="136"/>
      <c r="U7" s="135"/>
      <c r="V7" s="135"/>
    </row>
    <row r="8" spans="1:23" x14ac:dyDescent="0.4">
      <c r="A8" s="79" t="s">
        <v>637</v>
      </c>
      <c r="B8" s="135"/>
      <c r="C8" s="135"/>
      <c r="D8" s="135"/>
      <c r="E8" s="135"/>
      <c r="F8" s="135"/>
      <c r="G8" s="135"/>
      <c r="H8" s="135"/>
      <c r="I8" s="136">
        <f>Digital_Content_Consumption!$C$4*0.31*0.5</f>
        <v>129.11500000000001</v>
      </c>
      <c r="J8" s="136">
        <f>Digital_Content_Consumption!$C$4*0.16*0.5</f>
        <v>66.64</v>
      </c>
      <c r="K8" s="136">
        <f>Digital_Content_Consumption!$C$4*0.28*0.5*0.5</f>
        <v>58.31</v>
      </c>
      <c r="L8" s="136">
        <f>Digital_Content_Consumption!$C$4*0.28*0.5*0.5</f>
        <v>58.31</v>
      </c>
      <c r="N8" s="136">
        <f>Digital_Content_Consumption!$C$4*0.25*0.5</f>
        <v>104.125</v>
      </c>
      <c r="O8" s="135"/>
      <c r="P8" s="136">
        <f>Digital_Content_Consumption!$C$4*0.31</f>
        <v>258.23</v>
      </c>
      <c r="Q8" s="136">
        <f>Digital_Content_Consumption!$C$4*0.16</f>
        <v>133.28</v>
      </c>
      <c r="R8" s="136">
        <f>Digital_Content_Consumption!$C$4*0.28*0.5</f>
        <v>116.62</v>
      </c>
      <c r="S8" s="136">
        <f>Digital_Content_Consumption!$C$4*0.28*0.5</f>
        <v>116.62</v>
      </c>
      <c r="U8" s="135"/>
      <c r="V8" s="135"/>
    </row>
    <row r="9" spans="1:23" x14ac:dyDescent="0.4">
      <c r="A9" s="79" t="s">
        <v>638</v>
      </c>
      <c r="B9" s="135"/>
      <c r="C9" s="135"/>
      <c r="D9" s="135"/>
      <c r="E9" s="135"/>
      <c r="F9" s="135"/>
      <c r="G9" s="135"/>
      <c r="H9" s="135"/>
      <c r="I9" s="135"/>
      <c r="J9" s="135"/>
      <c r="K9" s="135"/>
      <c r="L9" s="135"/>
      <c r="M9" s="135"/>
      <c r="N9" s="136"/>
      <c r="O9" s="135"/>
      <c r="P9" s="135"/>
      <c r="Q9" s="135"/>
      <c r="R9" s="135"/>
      <c r="S9" s="135"/>
      <c r="T9" s="135"/>
      <c r="U9" s="135"/>
      <c r="V9" s="136">
        <f>Digital_Content_Consumption!$C$4*0.25</f>
        <v>208.25</v>
      </c>
      <c r="W9" s="93"/>
    </row>
    <row r="10" spans="1:23" x14ac:dyDescent="0.4">
      <c r="A10" s="66" t="s">
        <v>639</v>
      </c>
      <c r="B10" s="136">
        <f>Digital_Content_Consumption!C5</f>
        <v>566</v>
      </c>
      <c r="C10" s="135"/>
      <c r="D10" s="135"/>
      <c r="E10" s="135"/>
      <c r="F10" s="135"/>
      <c r="G10" s="135"/>
      <c r="H10" s="135"/>
      <c r="J10" s="136"/>
      <c r="K10" s="136"/>
      <c r="L10" s="135"/>
      <c r="M10" s="135"/>
      <c r="N10" s="135"/>
      <c r="O10" s="135"/>
      <c r="P10" s="135"/>
      <c r="Q10" s="135"/>
      <c r="R10" s="135"/>
      <c r="S10" s="135"/>
      <c r="T10" s="135"/>
      <c r="U10" s="135"/>
      <c r="V10" s="135"/>
    </row>
    <row r="11" spans="1:23" x14ac:dyDescent="0.4">
      <c r="A11" s="66" t="s">
        <v>640</v>
      </c>
      <c r="B11" s="135"/>
      <c r="C11" s="135"/>
      <c r="D11" s="135"/>
      <c r="E11" s="135"/>
      <c r="F11" s="135"/>
      <c r="G11" s="135"/>
      <c r="H11" s="135"/>
      <c r="I11" s="136">
        <f>Digital_Content_Consumption!$C5*0.59</f>
        <v>333.94</v>
      </c>
      <c r="J11" s="136">
        <f>Digital_Content_Consumption!$C5*0.41*1/3</f>
        <v>77.353333333333325</v>
      </c>
      <c r="K11" s="136">
        <f>Digital_Content_Consumption!$C5*0.41*1/3</f>
        <v>77.353333333333325</v>
      </c>
      <c r="L11" s="136">
        <f>Digital_Content_Consumption!$C5*0.41*1/3</f>
        <v>77.353333333333325</v>
      </c>
      <c r="M11" s="135"/>
      <c r="N11" s="135"/>
      <c r="O11" s="135"/>
      <c r="P11" s="135"/>
      <c r="Q11" s="135"/>
      <c r="R11" s="135"/>
      <c r="S11" s="135"/>
      <c r="T11" s="136"/>
      <c r="U11" s="135"/>
      <c r="V11" s="135"/>
    </row>
    <row r="12" spans="1:23" x14ac:dyDescent="0.4">
      <c r="A12" s="66" t="s">
        <v>641</v>
      </c>
      <c r="B12" s="135"/>
      <c r="C12" s="135"/>
      <c r="D12" s="135"/>
      <c r="E12" s="135"/>
      <c r="F12" s="135"/>
      <c r="G12" s="135"/>
      <c r="H12" s="135"/>
      <c r="I12" s="135"/>
      <c r="J12" s="135"/>
      <c r="K12" s="135"/>
      <c r="L12" s="135"/>
      <c r="M12" s="135"/>
      <c r="N12" s="135"/>
      <c r="O12" s="135"/>
      <c r="P12" s="136">
        <f>Digital_Content_Consumption!$C5*0.59</f>
        <v>333.94</v>
      </c>
      <c r="Q12" s="136">
        <f>Digital_Content_Consumption!$C5*0.41*1/3</f>
        <v>77.353333333333325</v>
      </c>
      <c r="R12" s="136">
        <f>Digital_Content_Consumption!$C5*0.41*1/3</f>
        <v>77.353333333333325</v>
      </c>
      <c r="S12" s="136">
        <f>Digital_Content_Consumption!$C5*0.41*1/3</f>
        <v>77.353333333333325</v>
      </c>
      <c r="T12" s="135"/>
      <c r="U12" s="135"/>
      <c r="V12" s="135"/>
    </row>
    <row r="13" spans="1:23" x14ac:dyDescent="0.4">
      <c r="A13" s="66" t="s">
        <v>642</v>
      </c>
      <c r="B13" s="136"/>
      <c r="C13" s="136"/>
      <c r="D13" s="136">
        <f>Digital_Content_Consumption!$C6</f>
        <v>207</v>
      </c>
      <c r="E13" s="135"/>
      <c r="F13" s="135"/>
      <c r="G13" s="135"/>
      <c r="H13" s="135"/>
      <c r="I13" s="135"/>
      <c r="J13" s="135"/>
      <c r="K13" s="135"/>
      <c r="L13" s="135"/>
      <c r="M13" s="135"/>
      <c r="N13" s="135"/>
      <c r="O13" s="135"/>
      <c r="P13" s="135"/>
      <c r="Q13" s="135"/>
      <c r="R13" s="135"/>
      <c r="S13" s="135"/>
      <c r="T13" s="135"/>
      <c r="U13" s="135"/>
      <c r="V13" s="135"/>
    </row>
    <row r="14" spans="1:23" x14ac:dyDescent="0.4">
      <c r="A14" s="66" t="s">
        <v>643</v>
      </c>
      <c r="B14" s="135"/>
      <c r="C14" s="135"/>
      <c r="D14" s="135"/>
      <c r="E14" s="135"/>
      <c r="F14" s="135"/>
      <c r="G14" s="135"/>
      <c r="H14" s="135"/>
      <c r="J14" s="135"/>
      <c r="K14" s="136">
        <f>Digital_Content_Consumption!$C6*0.5</f>
        <v>103.5</v>
      </c>
      <c r="L14" s="136">
        <f>Digital_Content_Consumption!$C6*0.5</f>
        <v>103.5</v>
      </c>
      <c r="M14" s="135"/>
      <c r="N14" s="135"/>
      <c r="O14" s="135"/>
      <c r="P14" s="135"/>
      <c r="Q14" s="135"/>
      <c r="R14" s="135"/>
      <c r="S14" s="135"/>
      <c r="T14" s="135"/>
      <c r="U14" s="135"/>
      <c r="V14" s="135"/>
    </row>
    <row r="15" spans="1:23" x14ac:dyDescent="0.4">
      <c r="A15" s="66" t="s">
        <v>644</v>
      </c>
      <c r="B15" s="135"/>
      <c r="C15" s="135"/>
      <c r="D15" s="135"/>
      <c r="E15" s="135"/>
      <c r="F15" s="135"/>
      <c r="G15" s="135"/>
      <c r="H15" s="135"/>
      <c r="I15" s="135"/>
      <c r="J15" s="135"/>
      <c r="K15" s="135"/>
      <c r="L15" s="135"/>
      <c r="M15" s="135"/>
      <c r="N15" s="135"/>
      <c r="O15" s="135"/>
      <c r="P15" s="135"/>
      <c r="Q15" s="135"/>
      <c r="R15" s="136">
        <f>Digital_Content_Consumption!$C6*0.5</f>
        <v>103.5</v>
      </c>
      <c r="S15" s="136">
        <f>Digital_Content_Consumption!$C6*0.5</f>
        <v>103.5</v>
      </c>
      <c r="T15" s="135"/>
      <c r="U15" s="135"/>
      <c r="V15" s="135"/>
    </row>
    <row r="16" spans="1:23" x14ac:dyDescent="0.4">
      <c r="I16" s="93"/>
      <c r="L16" s="93"/>
    </row>
    <row r="17" spans="7:15" x14ac:dyDescent="0.4">
      <c r="I17" s="93"/>
    </row>
    <row r="18" spans="7:15" x14ac:dyDescent="0.4">
      <c r="I18" s="89"/>
      <c r="J18" s="89"/>
      <c r="K18" s="89"/>
      <c r="L18" s="89"/>
    </row>
    <row r="20" spans="7:15" x14ac:dyDescent="0.4">
      <c r="G20" s="89"/>
      <c r="I20" s="88"/>
      <c r="J20" s="89"/>
      <c r="K20" s="89"/>
      <c r="L20" s="89"/>
      <c r="M20" s="89"/>
      <c r="O20" s="93"/>
    </row>
    <row r="21" spans="7:15" x14ac:dyDescent="0.4">
      <c r="G21" s="89"/>
      <c r="I21" s="89"/>
      <c r="J21" s="89"/>
      <c r="K21" s="89"/>
      <c r="L21" s="89"/>
      <c r="M21" s="89"/>
    </row>
    <row r="22" spans="7:15" x14ac:dyDescent="0.4">
      <c r="G22" s="89"/>
      <c r="I22" s="98"/>
    </row>
    <row r="23" spans="7:15" x14ac:dyDescent="0.4">
      <c r="G23" s="89"/>
    </row>
  </sheetData>
  <mergeCells count="6">
    <mergeCell ref="B1:H1"/>
    <mergeCell ref="I1:O1"/>
    <mergeCell ref="B2:H2"/>
    <mergeCell ref="I2:O2"/>
    <mergeCell ref="P1:V1"/>
    <mergeCell ref="P2:V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1883-D99C-4786-B1EE-83731092E8BF}">
  <dimension ref="A1:G18"/>
  <sheetViews>
    <sheetView showGridLines="0" zoomScale="85" zoomScaleNormal="85" workbookViewId="0">
      <selection activeCell="C20" sqref="C20"/>
    </sheetView>
  </sheetViews>
  <sheetFormatPr defaultRowHeight="14.6" x14ac:dyDescent="0.4"/>
  <cols>
    <col min="1" max="1" width="18.53515625" bestFit="1" customWidth="1"/>
    <col min="2" max="2" width="20" bestFit="1" customWidth="1"/>
    <col min="3" max="3" width="13.69140625" customWidth="1"/>
    <col min="4" max="4" width="12.84375" bestFit="1" customWidth="1"/>
    <col min="5" max="5" width="13.15234375" bestFit="1" customWidth="1"/>
    <col min="6" max="6" width="10.3828125" customWidth="1"/>
    <col min="7" max="7" width="23.15234375" bestFit="1" customWidth="1"/>
  </cols>
  <sheetData>
    <row r="1" spans="1:7" x14ac:dyDescent="0.4">
      <c r="A1" s="46" t="s">
        <v>441</v>
      </c>
      <c r="B1" s="46" t="s">
        <v>442</v>
      </c>
      <c r="C1" s="68" t="s">
        <v>618</v>
      </c>
      <c r="D1" s="68" t="s">
        <v>619</v>
      </c>
      <c r="E1" s="68" t="s">
        <v>620</v>
      </c>
      <c r="F1" s="68" t="s">
        <v>253</v>
      </c>
      <c r="G1" s="68" t="s">
        <v>254</v>
      </c>
    </row>
    <row r="2" spans="1:7" x14ac:dyDescent="0.4">
      <c r="A2" s="1" t="s">
        <v>170</v>
      </c>
      <c r="B2" s="1" t="s">
        <v>129</v>
      </c>
      <c r="C2" s="126">
        <f>AVERAGEIFS(data_traffic_dataset!$D$2:$D$58,data_traffic_dataset!$A$2:$A$58,Data_Traffic!$A2,data_traffic_dataset!$B$2:$B$58,Data_Traffic!$B2)</f>
        <v>0.105</v>
      </c>
      <c r="D2" s="126">
        <f>_xlfn.MINIFS(data_traffic_dataset!$D$2:$D$58,data_traffic_dataset!$A$2:$A$58,Data_Traffic!$A2,data_traffic_dataset!$B$2:$B$58,Data_Traffic!$B2)</f>
        <v>0.06</v>
      </c>
      <c r="E2" s="126">
        <f>_xlfn.MAXIFS(data_traffic_dataset!$D$2:$D$58,data_traffic_dataset!$A$2:$A$58,Data_Traffic!$A2,data_traffic_dataset!$B$2:$B$58,Data_Traffic!$B2)</f>
        <v>0.15</v>
      </c>
      <c r="F2" s="195" t="s">
        <v>216</v>
      </c>
      <c r="G2" s="192" t="s">
        <v>488</v>
      </c>
    </row>
    <row r="3" spans="1:7" x14ac:dyDescent="0.4">
      <c r="A3" s="66" t="s">
        <v>2</v>
      </c>
      <c r="B3" s="1" t="s">
        <v>129</v>
      </c>
      <c r="C3" s="126">
        <f>AVERAGEIFS(data_traffic_dataset!$D$2:$D$58,data_traffic_dataset!$A$2:$A$58,Data_Traffic!$A3,data_traffic_dataset!$B$2:$B$58,Data_Traffic!$B3)</f>
        <v>0.30919999999999997</v>
      </c>
      <c r="D3" s="126">
        <f>_xlfn.MINIFS(data_traffic_dataset!$D$2:$D$58,data_traffic_dataset!$A$2:$A$58,Data_Traffic!$A3,data_traffic_dataset!$B$2:$B$58,Data_Traffic!$B3)</f>
        <v>0.09</v>
      </c>
      <c r="E3" s="126">
        <f>_xlfn.MAXIFS(data_traffic_dataset!$D$2:$D$58,data_traffic_dataset!$A$2:$A$58,Data_Traffic!$A3,data_traffic_dataset!$B$2:$B$58,Data_Traffic!$B3)</f>
        <v>0.84</v>
      </c>
      <c r="F3" s="196"/>
      <c r="G3" s="193"/>
    </row>
    <row r="4" spans="1:7" x14ac:dyDescent="0.4">
      <c r="A4" s="79" t="s">
        <v>135</v>
      </c>
      <c r="B4" s="1" t="s">
        <v>450</v>
      </c>
      <c r="C4" s="126">
        <f>AVERAGEIFS(data_traffic_dataset!$D$2:$D$58,data_traffic_dataset!$A$2:$A$58,Data_Traffic!$A4,data_traffic_dataset!$B$2:$B$58,Data_Traffic!$B4)</f>
        <v>0.6517857142857143</v>
      </c>
      <c r="D4" s="126">
        <f>_xlfn.MINIFS(data_traffic_dataset!$D$2:$D$58,data_traffic_dataset!$A$2:$A$58,Data_Traffic!$A4,data_traffic_dataset!$B$2:$B$58,Data_Traffic!$B4)</f>
        <v>0.45</v>
      </c>
      <c r="E4" s="126">
        <f>_xlfn.MAXIFS(data_traffic_dataset!$D$2:$D$58,data_traffic_dataset!$A$2:$A$58,Data_Traffic!$A4,data_traffic_dataset!$B$2:$B$58,Data_Traffic!$B4)</f>
        <v>0.8</v>
      </c>
      <c r="F4" s="196"/>
      <c r="G4" s="193"/>
    </row>
    <row r="5" spans="1:7" x14ac:dyDescent="0.4">
      <c r="A5" s="79" t="s">
        <v>135</v>
      </c>
      <c r="B5" s="1" t="s">
        <v>244</v>
      </c>
      <c r="C5" s="126">
        <f>AVERAGEIFS(data_traffic_dataset!$D$2:$D$58,data_traffic_dataset!$A$2:$A$58,Data_Traffic!$A5,data_traffic_dataset!$B$2:$B$58,Data_Traffic!$B5)</f>
        <v>1.2666666666666668</v>
      </c>
      <c r="D5" s="126">
        <f>_xlfn.MINIFS(data_traffic_dataset!$D$2:$D$58,data_traffic_dataset!$A$2:$A$58,Data_Traffic!$A5,data_traffic_dataset!$B$2:$B$58,Data_Traffic!$B5)</f>
        <v>1</v>
      </c>
      <c r="E5" s="126">
        <f>_xlfn.MAXIFS(data_traffic_dataset!$D$2:$D$58,data_traffic_dataset!$A$2:$A$58,Data_Traffic!$A5,data_traffic_dataset!$B$2:$B$58,Data_Traffic!$B5)</f>
        <v>1.6875</v>
      </c>
      <c r="F5" s="196"/>
      <c r="G5" s="193"/>
    </row>
    <row r="6" spans="1:7" x14ac:dyDescent="0.4">
      <c r="A6" s="79" t="s">
        <v>135</v>
      </c>
      <c r="B6" s="1" t="s">
        <v>275</v>
      </c>
      <c r="C6" s="126">
        <f>AVERAGEIFS(data_traffic_dataset!$D$2:$D$58,data_traffic_dataset!$A$2:$A$58,Data_Traffic!$A6,data_traffic_dataset!$B$2:$B$58,Data_Traffic!$B6)</f>
        <v>2.4218750000000004</v>
      </c>
      <c r="D6" s="126">
        <f>_xlfn.MINIFS(data_traffic_dataset!$D$2:$D$58,data_traffic_dataset!$A$2:$A$58,Data_Traffic!$A6,data_traffic_dataset!$B$2:$B$58,Data_Traffic!$B6)</f>
        <v>1.8</v>
      </c>
      <c r="E6" s="126">
        <f>_xlfn.MAXIFS(data_traffic_dataset!$D$2:$D$58,data_traffic_dataset!$A$2:$A$58,Data_Traffic!$A6,data_traffic_dataset!$B$2:$B$58,Data_Traffic!$B6)</f>
        <v>3.15</v>
      </c>
      <c r="F6" s="196"/>
      <c r="G6" s="193"/>
    </row>
    <row r="7" spans="1:7" x14ac:dyDescent="0.4">
      <c r="A7" s="79" t="s">
        <v>135</v>
      </c>
      <c r="B7" s="1" t="s">
        <v>613</v>
      </c>
      <c r="C7" s="126">
        <f>AVERAGEIFS(data_traffic_dataset!$D$2:$D$58,data_traffic_dataset!$A$2:$A$58,Data_Traffic!$A7,data_traffic_dataset!$B$2:$B$58,Data_Traffic!$B7)</f>
        <v>7.6237500000000002</v>
      </c>
      <c r="D7" s="126">
        <f>_xlfn.MINIFS(data_traffic_dataset!$D$2:$D$58,data_traffic_dataset!$A$2:$A$58,Data_Traffic!$A7,data_traffic_dataset!$B$2:$B$58,Data_Traffic!$B7)</f>
        <v>6</v>
      </c>
      <c r="E7" s="126">
        <f>_xlfn.MAXIFS(data_traffic_dataset!$D$2:$D$58,data_traffic_dataset!$A$2:$A$58,Data_Traffic!$A7,data_traffic_dataset!$B$2:$B$58,Data_Traffic!$B7)</f>
        <v>9.9</v>
      </c>
      <c r="F7" s="196"/>
      <c r="G7" s="193"/>
    </row>
    <row r="8" spans="1:7" x14ac:dyDescent="0.4">
      <c r="A8" s="66" t="s">
        <v>174</v>
      </c>
      <c r="B8" s="1" t="s">
        <v>127</v>
      </c>
      <c r="C8" s="126">
        <f>AVERAGEIFS(data_traffic_dataset!$D$2:$D$58,data_traffic_dataset!$A$2:$A$58,Data_Traffic!$A8,data_traffic_dataset!$B$2:$B$58,Data_Traffic!$B8)</f>
        <v>2.6899999999999997E-2</v>
      </c>
      <c r="D8" s="126">
        <f>_xlfn.MINIFS(data_traffic_dataset!$D$2:$D$58,data_traffic_dataset!$A$2:$A$58,Data_Traffic!$A8,data_traffic_dataset!$B$2:$B$58,Data_Traffic!$B8)</f>
        <v>1.0799999999999999E-2</v>
      </c>
      <c r="E8" s="126">
        <f>_xlfn.MAXIFS(data_traffic_dataset!$D$2:$D$58,data_traffic_dataset!$A$2:$A$58,Data_Traffic!$A8,data_traffic_dataset!$B$2:$B$58,Data_Traffic!$B8)</f>
        <v>4.2999999999999997E-2</v>
      </c>
      <c r="F8" s="196"/>
      <c r="G8" s="193"/>
    </row>
    <row r="9" spans="1:7" x14ac:dyDescent="0.4">
      <c r="A9" s="66" t="s">
        <v>174</v>
      </c>
      <c r="B9" s="1" t="s">
        <v>128</v>
      </c>
      <c r="C9" s="126">
        <f>AVERAGEIFS(data_traffic_dataset!$D$2:$D$58,data_traffic_dataset!$A$2:$A$58,Data_Traffic!$A9,data_traffic_dataset!$B$2:$B$58,Data_Traffic!$B9)</f>
        <v>5.7599999999999998E-2</v>
      </c>
      <c r="D9" s="126">
        <f>_xlfn.MINIFS(data_traffic_dataset!$D$2:$D$58,data_traffic_dataset!$A$2:$A$58,Data_Traffic!$A9,data_traffic_dataset!$B$2:$B$58,Data_Traffic!$B9)</f>
        <v>4.3199999999999995E-2</v>
      </c>
      <c r="E9" s="126">
        <f>_xlfn.MAXIFS(data_traffic_dataset!$D$2:$D$58,data_traffic_dataset!$A$2:$A$58,Data_Traffic!$A9,data_traffic_dataset!$B$2:$B$58,Data_Traffic!$B9)</f>
        <v>7.1999999999999995E-2</v>
      </c>
      <c r="F9" s="196"/>
      <c r="G9" s="193"/>
    </row>
    <row r="10" spans="1:7" x14ac:dyDescent="0.4">
      <c r="A10" s="66" t="s">
        <v>174</v>
      </c>
      <c r="B10" s="1" t="s">
        <v>136</v>
      </c>
      <c r="C10" s="126">
        <f>AVERAGEIFS(data_traffic_dataset!$D$2:$D$58,data_traffic_dataset!$A$2:$A$58,Data_Traffic!$A10,data_traffic_dataset!$B$2:$B$58,Data_Traffic!$B10)</f>
        <v>0.11276666666666664</v>
      </c>
      <c r="D10" s="126">
        <f>_xlfn.MINIFS(data_traffic_dataset!$D$2:$D$58,data_traffic_dataset!$A$2:$A$58,Data_Traffic!$A10,data_traffic_dataset!$B$2:$B$58,Data_Traffic!$B10)</f>
        <v>7.1999999999999995E-2</v>
      </c>
      <c r="E10" s="126">
        <f>_xlfn.MAXIFS(data_traffic_dataset!$D$2:$D$58,data_traffic_dataset!$A$2:$A$58,Data_Traffic!$A10,data_traffic_dataset!$B$2:$B$58,Data_Traffic!$B10)</f>
        <v>0.14399999999999999</v>
      </c>
      <c r="F10" s="196"/>
      <c r="G10" s="193"/>
    </row>
    <row r="11" spans="1:7" x14ac:dyDescent="0.4">
      <c r="A11" s="66" t="s">
        <v>193</v>
      </c>
      <c r="B11" s="1" t="s">
        <v>197</v>
      </c>
      <c r="C11" s="126">
        <f>AVERAGEIFS(data_traffic_dataset!$D$2:$D$58,data_traffic_dataset!$A$2:$A$58,Data_Traffic!$A11,data_traffic_dataset!$B$2:$B$58,Data_Traffic!$B11)</f>
        <v>3.5549999999999998E-2</v>
      </c>
      <c r="D11" s="126">
        <f>_xlfn.MINIFS(data_traffic_dataset!$D$2:$D$58,data_traffic_dataset!$A$2:$A$58,Data_Traffic!$A11,data_traffic_dataset!$B$2:$B$58,Data_Traffic!$B11)</f>
        <v>3.0150000000000003E-2</v>
      </c>
      <c r="E11" s="126">
        <f>_xlfn.MAXIFS(data_traffic_dataset!$D$2:$D$58,data_traffic_dataset!$A$2:$A$58,Data_Traffic!$A11,data_traffic_dataset!$B$2:$B$58,Data_Traffic!$B11)</f>
        <v>4.4999999999999998E-2</v>
      </c>
      <c r="F11" s="196"/>
      <c r="G11" s="193"/>
    </row>
    <row r="12" spans="1:7" x14ac:dyDescent="0.4">
      <c r="A12" s="66" t="s">
        <v>193</v>
      </c>
      <c r="B12" s="1" t="s">
        <v>128</v>
      </c>
      <c r="C12" s="126">
        <f>AVERAGEIFS(data_traffic_dataset!$D$2:$D$58,data_traffic_dataset!$A$2:$A$58,Data_Traffic!$A12,data_traffic_dataset!$B$2:$B$58,Data_Traffic!$B12)</f>
        <v>0.59999999999999987</v>
      </c>
      <c r="D12" s="126">
        <f>_xlfn.MINIFS(data_traffic_dataset!$D$2:$D$58,data_traffic_dataset!$A$2:$A$58,Data_Traffic!$A12,data_traffic_dataset!$B$2:$B$58,Data_Traffic!$B12)</f>
        <v>0.36</v>
      </c>
      <c r="E12" s="126">
        <f>_xlfn.MAXIFS(data_traffic_dataset!$D$2:$D$58,data_traffic_dataset!$A$2:$A$58,Data_Traffic!$A12,data_traffic_dataset!$B$2:$B$58,Data_Traffic!$B12)</f>
        <v>0.83999999999999986</v>
      </c>
      <c r="F12" s="196"/>
      <c r="G12" s="193"/>
    </row>
    <row r="13" spans="1:7" x14ac:dyDescent="0.4">
      <c r="A13" s="66" t="s">
        <v>193</v>
      </c>
      <c r="B13" s="1" t="s">
        <v>136</v>
      </c>
      <c r="C13" s="126">
        <f>AVERAGEIFS(data_traffic_dataset!$D$2:$D$58,data_traffic_dataset!$A$2:$A$58,Data_Traffic!$A13,data_traffic_dataset!$B$2:$B$58,Data_Traffic!$B13)</f>
        <v>1.38375</v>
      </c>
      <c r="D13" s="126">
        <f>_xlfn.MINIFS(data_traffic_dataset!$D$2:$D$58,data_traffic_dataset!$A$2:$A$58,Data_Traffic!$A13,data_traffic_dataset!$B$2:$B$58,Data_Traffic!$B13)</f>
        <v>1.2375</v>
      </c>
      <c r="E13" s="126">
        <f>_xlfn.MAXIFS(data_traffic_dataset!$D$2:$D$58,data_traffic_dataset!$A$2:$A$58,Data_Traffic!$A13,data_traffic_dataset!$B$2:$B$58,Data_Traffic!$B13)</f>
        <v>1.53</v>
      </c>
      <c r="F13" s="197"/>
      <c r="G13" s="194"/>
    </row>
    <row r="17" spans="3:4" x14ac:dyDescent="0.4">
      <c r="C17" s="92"/>
      <c r="D17" s="92"/>
    </row>
    <row r="18" spans="3:4" x14ac:dyDescent="0.4">
      <c r="C18" s="92"/>
    </row>
  </sheetData>
  <mergeCells count="2">
    <mergeCell ref="G2:G13"/>
    <mergeCell ref="F2:F13"/>
  </mergeCells>
  <hyperlinks>
    <hyperlink ref="G2" location="data_traffic_dataset!A1" display="data_traffic_dataset!A1" xr:uid="{A1288DC4-E08C-47B8-9053-9BD337F3094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3A9E-0695-49CA-86CD-A8D26E122BB7}">
  <dimension ref="A1:R31"/>
  <sheetViews>
    <sheetView showGridLines="0" zoomScale="85" zoomScaleNormal="85" workbookViewId="0">
      <pane xSplit="2" ySplit="1" topLeftCell="C5" activePane="bottomRight" state="frozen"/>
      <selection pane="topRight" activeCell="C1" sqref="C1"/>
      <selection pane="bottomLeft" activeCell="A2" sqref="A2"/>
      <selection pane="bottomRight" activeCell="D11" sqref="D11"/>
    </sheetView>
  </sheetViews>
  <sheetFormatPr defaultRowHeight="14.6" x14ac:dyDescent="0.4"/>
  <cols>
    <col min="1" max="1" width="13.53515625" customWidth="1"/>
    <col min="2" max="2" width="29" bestFit="1" customWidth="1"/>
    <col min="3" max="3" width="14.69140625" style="27" customWidth="1"/>
    <col min="4" max="6" width="12.84375" style="27" bestFit="1" customWidth="1"/>
    <col min="7" max="7" width="12.84375" style="27" customWidth="1"/>
    <col min="8" max="8" width="10.69140625" style="27" customWidth="1"/>
    <col min="9" max="9" width="117.84375" customWidth="1"/>
    <col min="11" max="11" width="11.84375" bestFit="1" customWidth="1"/>
  </cols>
  <sheetData>
    <row r="1" spans="1:11" x14ac:dyDescent="0.4">
      <c r="A1" s="46" t="s">
        <v>440</v>
      </c>
      <c r="B1" s="46" t="s">
        <v>252</v>
      </c>
      <c r="C1" s="82" t="s">
        <v>251</v>
      </c>
      <c r="D1" s="68" t="s">
        <v>618</v>
      </c>
      <c r="E1" s="68" t="s">
        <v>619</v>
      </c>
      <c r="F1" s="68" t="s">
        <v>620</v>
      </c>
      <c r="G1" s="68" t="s">
        <v>745</v>
      </c>
      <c r="H1" s="68" t="s">
        <v>253</v>
      </c>
      <c r="I1" s="68" t="s">
        <v>600</v>
      </c>
    </row>
    <row r="2" spans="1:11" ht="58.3" x14ac:dyDescent="0.4">
      <c r="A2" s="198" t="s">
        <v>248</v>
      </c>
      <c r="B2" s="73" t="s">
        <v>131</v>
      </c>
      <c r="C2" s="128" t="s">
        <v>599</v>
      </c>
      <c r="D2" s="85">
        <v>1.4725487975099599E-3</v>
      </c>
      <c r="E2" s="85">
        <v>1.1105839583615538E-3</v>
      </c>
      <c r="F2" s="85">
        <v>1.8345136366583661E-3</v>
      </c>
      <c r="G2" s="85">
        <v>5.9050247657622089E-4</v>
      </c>
      <c r="H2" s="69" t="s">
        <v>462</v>
      </c>
      <c r="I2" s="86" t="s">
        <v>746</v>
      </c>
      <c r="K2" s="98"/>
    </row>
    <row r="3" spans="1:11" ht="58.3" x14ac:dyDescent="0.4">
      <c r="A3" s="199"/>
      <c r="B3" s="73" t="s">
        <v>133</v>
      </c>
      <c r="C3" s="128" t="s">
        <v>599</v>
      </c>
      <c r="D3" s="85">
        <v>5.398351974988929E-3</v>
      </c>
      <c r="E3" s="85">
        <v>3.7168980811399192E-3</v>
      </c>
      <c r="F3" s="85">
        <v>6.3718252819541469E-3</v>
      </c>
      <c r="G3" s="85">
        <v>2.1647773004544761E-3</v>
      </c>
      <c r="H3" s="69" t="s">
        <v>462</v>
      </c>
      <c r="I3" s="86" t="s">
        <v>750</v>
      </c>
      <c r="K3" s="98"/>
    </row>
    <row r="4" spans="1:11" ht="58.3" x14ac:dyDescent="0.4">
      <c r="A4" s="199"/>
      <c r="B4" s="73" t="s">
        <v>132</v>
      </c>
      <c r="C4" s="128" t="s">
        <v>599</v>
      </c>
      <c r="D4" s="85">
        <v>2.4211020116580717E-2</v>
      </c>
      <c r="E4" s="85">
        <f>$D$4*(1-0.3)</f>
        <v>1.6947714081606502E-2</v>
      </c>
      <c r="F4" s="85">
        <f>$D$4*(1+0.3)</f>
        <v>3.1474326151554932E-2</v>
      </c>
      <c r="G4" s="85">
        <v>6.0691836821997937E-3</v>
      </c>
      <c r="H4" s="69" t="s">
        <v>462</v>
      </c>
      <c r="I4" s="86" t="s">
        <v>760</v>
      </c>
      <c r="K4" s="98"/>
    </row>
    <row r="5" spans="1:11" ht="58.3" x14ac:dyDescent="0.4">
      <c r="A5" s="199"/>
      <c r="B5" s="73" t="s">
        <v>752</v>
      </c>
      <c r="C5" s="128" t="s">
        <v>599</v>
      </c>
      <c r="D5" s="85">
        <v>0.10959881453323946</v>
      </c>
      <c r="E5" s="85">
        <f>$D$5*(1-0.3)</f>
        <v>7.6719170173267612E-2</v>
      </c>
      <c r="F5" s="85">
        <f>$D$5*(1+0.3)</f>
        <v>0.14247845889321128</v>
      </c>
      <c r="G5" s="85">
        <v>4.394989933177957E-2</v>
      </c>
      <c r="H5" s="69" t="s">
        <v>462</v>
      </c>
      <c r="I5" s="86" t="s">
        <v>761</v>
      </c>
      <c r="K5" s="93"/>
    </row>
    <row r="6" spans="1:11" ht="29.15" x14ac:dyDescent="0.4">
      <c r="A6" s="199"/>
      <c r="B6" s="73" t="s">
        <v>438</v>
      </c>
      <c r="C6" s="128" t="s">
        <v>599</v>
      </c>
      <c r="D6" s="85">
        <f>ei_tv_dataset!M5/1000</f>
        <v>2.55395E-2</v>
      </c>
      <c r="E6" s="85">
        <f>ei_tv_dataset!N5/1000</f>
        <v>1.4999999999999999E-2</v>
      </c>
      <c r="F6" s="85">
        <f>ei_tv_dataset!O5/1000</f>
        <v>6.5000000000000002E-2</v>
      </c>
      <c r="G6" s="85">
        <f>D6*(1-0.05)^(2050-2022)</f>
        <v>6.0739797359785621E-3</v>
      </c>
      <c r="H6" s="69" t="s">
        <v>462</v>
      </c>
      <c r="I6" s="86" t="s">
        <v>764</v>
      </c>
      <c r="K6" s="98"/>
    </row>
    <row r="7" spans="1:11" ht="29.15" x14ac:dyDescent="0.4">
      <c r="A7" s="199"/>
      <c r="B7" s="73" t="s">
        <v>439</v>
      </c>
      <c r="C7" s="128" t="s">
        <v>599</v>
      </c>
      <c r="D7" s="85">
        <f>ei_tv_dataset!M6/1000</f>
        <v>3.3253846153846148E-2</v>
      </c>
      <c r="E7" s="85">
        <f>ei_tv_dataset!N6/1000</f>
        <v>1.4500000000000001E-2</v>
      </c>
      <c r="F7" s="85">
        <f>ei_tv_dataset!O6/1000</f>
        <v>8.5000000000000006E-2</v>
      </c>
      <c r="G7" s="85">
        <f>D7*(1-0.05)^(2050-2022)</f>
        <v>7.9086586535292453E-3</v>
      </c>
      <c r="H7" s="69" t="s">
        <v>462</v>
      </c>
      <c r="I7" s="86" t="s">
        <v>764</v>
      </c>
      <c r="K7" s="98"/>
    </row>
    <row r="8" spans="1:11" ht="29.15" x14ac:dyDescent="0.4">
      <c r="A8" s="200"/>
      <c r="B8" s="73" t="s">
        <v>621</v>
      </c>
      <c r="C8" s="128" t="s">
        <v>599</v>
      </c>
      <c r="D8" s="85">
        <f>ei_tv_dataset!M7/1000</f>
        <v>8.0017199999999997E-2</v>
      </c>
      <c r="E8" s="85">
        <f>ei_tv_dataset!N7/1000</f>
        <v>4.7500000000000001E-2</v>
      </c>
      <c r="F8" s="85">
        <f>ei_tv_dataset!O7/1000</f>
        <v>0.11359999999999999</v>
      </c>
      <c r="G8" s="85">
        <f>D8*(1-0.05)^(2050-2022)</f>
        <v>1.9030241442852983E-2</v>
      </c>
      <c r="H8" s="69" t="s">
        <v>462</v>
      </c>
      <c r="I8" s="86" t="s">
        <v>765</v>
      </c>
    </row>
    <row r="9" spans="1:11" ht="43.75" x14ac:dyDescent="0.4">
      <c r="A9" s="198" t="s">
        <v>447</v>
      </c>
      <c r="B9" s="73" t="s">
        <v>250</v>
      </c>
      <c r="C9" s="128" t="s">
        <v>599</v>
      </c>
      <c r="D9" s="85">
        <f>AVERAGE(4,10)/1000</f>
        <v>7.0000000000000001E-3</v>
      </c>
      <c r="E9" s="85">
        <f>4/1000</f>
        <v>4.0000000000000001E-3</v>
      </c>
      <c r="F9" s="85">
        <f>10/1000</f>
        <v>0.01</v>
      </c>
      <c r="G9" s="85">
        <f>D9*(1-0.02)^(2050-2020)</f>
        <v>3.8183902356770569E-3</v>
      </c>
      <c r="H9" s="69" t="s">
        <v>462</v>
      </c>
      <c r="I9" s="86" t="s">
        <v>766</v>
      </c>
    </row>
    <row r="10" spans="1:11" ht="43.75" x14ac:dyDescent="0.4">
      <c r="A10" s="199"/>
      <c r="B10" s="73" t="s">
        <v>464</v>
      </c>
      <c r="C10" s="128" t="s">
        <v>599</v>
      </c>
      <c r="D10" s="85">
        <f>2.8/1000</f>
        <v>2.8E-3</v>
      </c>
      <c r="E10" s="85">
        <f>D10*(1-0.2)</f>
        <v>2.2400000000000002E-3</v>
      </c>
      <c r="F10" s="85">
        <f>D10*(1+0.2)</f>
        <v>3.3599999999999997E-3</v>
      </c>
      <c r="G10" s="85">
        <f>D10*(1-0.02)^(2050-2020)</f>
        <v>1.5273560942708228E-3</v>
      </c>
      <c r="H10" s="69" t="s">
        <v>462</v>
      </c>
      <c r="I10" s="86" t="s">
        <v>767</v>
      </c>
    </row>
    <row r="11" spans="1:11" ht="72.900000000000006" x14ac:dyDescent="0.4">
      <c r="A11" s="200"/>
      <c r="B11" s="73" t="s">
        <v>463</v>
      </c>
      <c r="C11" s="84" t="s">
        <v>446</v>
      </c>
      <c r="D11" s="85">
        <v>1.7716847617279999E-2</v>
      </c>
      <c r="E11" s="85">
        <v>1.27561302844416E-2</v>
      </c>
      <c r="F11" s="85">
        <v>2.0374374759871996E-2</v>
      </c>
      <c r="G11" s="85">
        <f>D11*(1-0.02)^(2050-2020)</f>
        <v>9.6642625641143245E-3</v>
      </c>
      <c r="H11" s="69" t="s">
        <v>130</v>
      </c>
      <c r="I11" s="86" t="s">
        <v>768</v>
      </c>
    </row>
    <row r="12" spans="1:11" s="56" customFormat="1" ht="87.45" x14ac:dyDescent="0.4">
      <c r="A12" s="125" t="s">
        <v>249</v>
      </c>
      <c r="B12" s="125" t="s">
        <v>249</v>
      </c>
      <c r="C12" s="84" t="s">
        <v>446</v>
      </c>
      <c r="D12" s="85">
        <f>196.2/4.74/1000</f>
        <v>4.1392405063291136E-2</v>
      </c>
      <c r="E12" s="85">
        <f>D12*(1-0.25)</f>
        <v>3.1044303797468351E-2</v>
      </c>
      <c r="F12" s="85">
        <f>D12*(1+0.25)</f>
        <v>5.1740506329113922E-2</v>
      </c>
      <c r="G12" s="85">
        <f>D12*(1-0.02)^(2050-2020)</f>
        <v>2.2578907903551493E-2</v>
      </c>
      <c r="H12" s="69" t="s">
        <v>130</v>
      </c>
      <c r="I12" s="86" t="s">
        <v>769</v>
      </c>
    </row>
    <row r="13" spans="1:11" x14ac:dyDescent="0.4">
      <c r="A13" s="70"/>
      <c r="B13" s="29"/>
      <c r="C13" s="72"/>
      <c r="D13" s="72"/>
      <c r="E13" s="72"/>
      <c r="F13" s="72"/>
      <c r="G13" s="72"/>
      <c r="H13" s="64"/>
      <c r="I13" s="29"/>
    </row>
    <row r="15" spans="1:11" x14ac:dyDescent="0.4">
      <c r="D15" s="83"/>
    </row>
    <row r="16" spans="1:11" x14ac:dyDescent="0.4">
      <c r="B16" s="97"/>
    </row>
    <row r="17" spans="3:18" x14ac:dyDescent="0.4">
      <c r="E17" s="188"/>
    </row>
    <row r="18" spans="3:18" x14ac:dyDescent="0.4">
      <c r="I18" s="132"/>
    </row>
    <row r="19" spans="3:18" x14ac:dyDescent="0.4">
      <c r="E19" s="137"/>
      <c r="I19" s="132"/>
      <c r="R19" s="94"/>
    </row>
    <row r="20" spans="3:18" x14ac:dyDescent="0.4">
      <c r="D20" s="90"/>
      <c r="E20" s="90"/>
      <c r="F20" s="90"/>
      <c r="G20" s="90"/>
      <c r="I20" s="132"/>
    </row>
    <row r="21" spans="3:18" x14ac:dyDescent="0.4">
      <c r="D21" s="90"/>
      <c r="E21" s="90"/>
      <c r="F21" s="90"/>
      <c r="G21" s="90"/>
    </row>
    <row r="22" spans="3:18" x14ac:dyDescent="0.4">
      <c r="D22" s="90"/>
      <c r="E22" s="90"/>
      <c r="F22" s="90"/>
      <c r="G22" s="90"/>
      <c r="I22" s="133"/>
    </row>
    <row r="23" spans="3:18" x14ac:dyDescent="0.4">
      <c r="D23" s="138"/>
      <c r="E23" s="90"/>
      <c r="F23" s="90"/>
      <c r="G23" s="90"/>
    </row>
    <row r="24" spans="3:18" x14ac:dyDescent="0.4">
      <c r="C24" s="83"/>
      <c r="D24" s="138"/>
      <c r="E24" s="90"/>
      <c r="F24" s="90"/>
      <c r="G24" s="90"/>
    </row>
    <row r="25" spans="3:18" x14ac:dyDescent="0.4">
      <c r="D25" s="90"/>
      <c r="E25" s="90"/>
      <c r="F25" s="90"/>
      <c r="G25" s="90"/>
    </row>
    <row r="26" spans="3:18" x14ac:dyDescent="0.4">
      <c r="D26" s="90"/>
      <c r="E26" s="90"/>
      <c r="F26" s="90"/>
      <c r="G26" s="90"/>
    </row>
    <row r="27" spans="3:18" x14ac:dyDescent="0.4">
      <c r="D27" s="90"/>
      <c r="E27" s="90"/>
      <c r="F27" s="90"/>
      <c r="G27" s="90"/>
    </row>
    <row r="28" spans="3:18" x14ac:dyDescent="0.4">
      <c r="D28" s="90"/>
      <c r="E28" s="90"/>
      <c r="F28" s="90"/>
      <c r="G28" s="90"/>
    </row>
    <row r="29" spans="3:18" x14ac:dyDescent="0.4">
      <c r="D29" s="90"/>
      <c r="E29" s="90"/>
      <c r="F29" s="90"/>
      <c r="G29" s="90"/>
    </row>
    <row r="30" spans="3:18" x14ac:dyDescent="0.4">
      <c r="D30" s="90"/>
      <c r="E30" s="90"/>
      <c r="F30" s="90"/>
      <c r="G30" s="90"/>
    </row>
    <row r="31" spans="3:18" x14ac:dyDescent="0.4">
      <c r="D31" s="90"/>
      <c r="E31" s="90"/>
      <c r="F31" s="90"/>
      <c r="G31" s="90"/>
    </row>
  </sheetData>
  <mergeCells count="2">
    <mergeCell ref="A2:A8"/>
    <mergeCell ref="A9:A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0399-3362-48C9-8E19-4FEE1DB7F1B6}">
  <dimension ref="A1:M37"/>
  <sheetViews>
    <sheetView showGridLines="0" zoomScale="85" zoomScaleNormal="85" workbookViewId="0">
      <selection activeCell="C11" sqref="C11"/>
    </sheetView>
  </sheetViews>
  <sheetFormatPr defaultRowHeight="14.6" x14ac:dyDescent="0.4"/>
  <cols>
    <col min="1" max="1" width="14.53515625" customWidth="1"/>
    <col min="2" max="2" width="29" bestFit="1" customWidth="1"/>
    <col min="3" max="3" width="15" bestFit="1" customWidth="1"/>
    <col min="4" max="4" width="11.53515625" customWidth="1"/>
    <col min="5" max="5" width="13" customWidth="1"/>
    <col min="6" max="6" width="13.69140625" customWidth="1"/>
    <col min="7" max="7" width="13.3828125" customWidth="1"/>
    <col min="8" max="8" width="12.3046875" customWidth="1"/>
    <col min="9" max="9" width="11.53515625" customWidth="1"/>
    <col min="10" max="10" width="13.69140625" customWidth="1"/>
    <col min="11" max="11" width="13.3046875" customWidth="1"/>
    <col min="12" max="12" width="11.53515625" customWidth="1"/>
    <col min="13" max="13" width="109.3828125" customWidth="1"/>
  </cols>
  <sheetData>
    <row r="1" spans="1:13" ht="18.45" x14ac:dyDescent="0.5">
      <c r="A1" s="28" t="s">
        <v>684</v>
      </c>
    </row>
    <row r="2" spans="1:13" s="123" customFormat="1" ht="60" customHeight="1" x14ac:dyDescent="0.4">
      <c r="A2" s="209" t="s">
        <v>440</v>
      </c>
      <c r="B2" s="209" t="s">
        <v>252</v>
      </c>
      <c r="C2" s="207" t="s">
        <v>658</v>
      </c>
      <c r="D2" s="204" t="s">
        <v>717</v>
      </c>
      <c r="E2" s="205"/>
      <c r="F2" s="206"/>
      <c r="G2" s="204" t="s">
        <v>659</v>
      </c>
      <c r="H2" s="205"/>
      <c r="I2" s="206"/>
      <c r="J2" s="204" t="s">
        <v>671</v>
      </c>
      <c r="K2" s="205"/>
      <c r="L2" s="206"/>
      <c r="M2" s="211" t="s">
        <v>600</v>
      </c>
    </row>
    <row r="3" spans="1:13" s="123" customFormat="1" ht="29.15" x14ac:dyDescent="0.4">
      <c r="A3" s="210"/>
      <c r="B3" s="210"/>
      <c r="C3" s="208"/>
      <c r="D3" s="124" t="s">
        <v>618</v>
      </c>
      <c r="E3" s="124" t="s">
        <v>619</v>
      </c>
      <c r="F3" s="124" t="s">
        <v>620</v>
      </c>
      <c r="G3" s="124" t="s">
        <v>618</v>
      </c>
      <c r="H3" s="124" t="s">
        <v>619</v>
      </c>
      <c r="I3" s="124" t="s">
        <v>620</v>
      </c>
      <c r="J3" s="124" t="s">
        <v>618</v>
      </c>
      <c r="K3" s="124" t="s">
        <v>619</v>
      </c>
      <c r="L3" s="124" t="s">
        <v>620</v>
      </c>
      <c r="M3" s="212"/>
    </row>
    <row r="4" spans="1:13" ht="29.15" x14ac:dyDescent="0.4">
      <c r="A4" s="198" t="s">
        <v>248</v>
      </c>
      <c r="B4" s="73" t="s">
        <v>131</v>
      </c>
      <c r="C4" s="91">
        <v>3</v>
      </c>
      <c r="D4" s="139" t="s">
        <v>730</v>
      </c>
      <c r="E4" s="139" t="s">
        <v>731</v>
      </c>
      <c r="F4" s="139" t="s">
        <v>732</v>
      </c>
      <c r="G4" s="91">
        <f>$C4*ROUND((5*365)+(30*365/60),0)</f>
        <v>6024</v>
      </c>
      <c r="H4" s="91">
        <f>$C4*ROUND((3*365)+(30*365/60),0)</f>
        <v>3834</v>
      </c>
      <c r="I4" s="91">
        <f>$C4*ROUND((7*365)+(30*365/60),0)</f>
        <v>8214</v>
      </c>
      <c r="J4" s="180">
        <f>1/G4</f>
        <v>1.6600265604249667E-4</v>
      </c>
      <c r="K4" s="180">
        <f>1/I4</f>
        <v>1.2174336498660823E-4</v>
      </c>
      <c r="L4" s="180">
        <f>1/H4</f>
        <v>2.608242044861763E-4</v>
      </c>
      <c r="M4" s="86" t="s">
        <v>662</v>
      </c>
    </row>
    <row r="5" spans="1:13" ht="29.15" x14ac:dyDescent="0.4">
      <c r="A5" s="199"/>
      <c r="B5" s="73" t="s">
        <v>133</v>
      </c>
      <c r="C5" s="91">
        <v>3</v>
      </c>
      <c r="D5" s="139" t="s">
        <v>733</v>
      </c>
      <c r="E5" s="139" t="s">
        <v>734</v>
      </c>
      <c r="F5" s="139" t="s">
        <v>731</v>
      </c>
      <c r="G5" s="91">
        <f>$C5*ROUND((2*365)+(30*365/60),0)</f>
        <v>2739</v>
      </c>
      <c r="H5" s="91">
        <f>$C5*ROUND((1*365)+(30*365/60),0)</f>
        <v>1644</v>
      </c>
      <c r="I5" s="91">
        <f>$C5*ROUND((3*365)+(30*365/60),0)</f>
        <v>3834</v>
      </c>
      <c r="J5" s="180">
        <f t="shared" ref="J5:J11" si="0">1/G5</f>
        <v>3.6509675063891932E-4</v>
      </c>
      <c r="K5" s="180">
        <f t="shared" ref="K5:K10" si="1">1/I5</f>
        <v>2.608242044861763E-4</v>
      </c>
      <c r="L5" s="180">
        <f t="shared" ref="L5:L10" si="2">1/H5</f>
        <v>6.0827250608272508E-4</v>
      </c>
      <c r="M5" s="152" t="s">
        <v>727</v>
      </c>
    </row>
    <row r="6" spans="1:13" x14ac:dyDescent="0.4">
      <c r="A6" s="199"/>
      <c r="B6" s="73" t="s">
        <v>132</v>
      </c>
      <c r="C6" s="91">
        <v>4</v>
      </c>
      <c r="D6" s="139" t="s">
        <v>735</v>
      </c>
      <c r="E6" s="139" t="s">
        <v>736</v>
      </c>
      <c r="F6" s="139" t="s">
        <v>737</v>
      </c>
      <c r="G6" s="91">
        <f>$C6*ROUND((4*365)+(0*365/60),0)</f>
        <v>5840</v>
      </c>
      <c r="H6" s="91">
        <f>$C6*ROUND((3*365)+(24*365/60),0)</f>
        <v>4964</v>
      </c>
      <c r="I6" s="91">
        <f>$C6*ROUND((4*365)+(36*365/60),0)</f>
        <v>6716</v>
      </c>
      <c r="J6" s="180">
        <f t="shared" si="0"/>
        <v>1.7123287671232877E-4</v>
      </c>
      <c r="K6" s="180">
        <f t="shared" si="1"/>
        <v>1.4889815366289459E-4</v>
      </c>
      <c r="L6" s="180">
        <f t="shared" si="2"/>
        <v>2.0145044319097501E-4</v>
      </c>
      <c r="M6" s="86" t="s">
        <v>665</v>
      </c>
    </row>
    <row r="7" spans="1:13" ht="29.15" x14ac:dyDescent="0.4">
      <c r="A7" s="199"/>
      <c r="B7" s="73" t="s">
        <v>752</v>
      </c>
      <c r="C7" s="91">
        <v>5</v>
      </c>
      <c r="D7" s="139" t="s">
        <v>738</v>
      </c>
      <c r="E7" s="139" t="s">
        <v>739</v>
      </c>
      <c r="F7" s="139" t="s">
        <v>740</v>
      </c>
      <c r="G7" s="91">
        <f>$C7*ROUND((4*365)+(48*365/60),0)</f>
        <v>8760</v>
      </c>
      <c r="H7" s="91">
        <f>$C7*ROUND((4*365)+(6*365/60),0)</f>
        <v>7485</v>
      </c>
      <c r="I7" s="91">
        <f>$C7*ROUND((5*365)+(30*365/60),0)</f>
        <v>10040</v>
      </c>
      <c r="J7" s="180">
        <f t="shared" si="0"/>
        <v>1.1415525114155251E-4</v>
      </c>
      <c r="K7" s="180">
        <f t="shared" si="1"/>
        <v>9.9601593625498012E-5</v>
      </c>
      <c r="L7" s="180">
        <f t="shared" si="2"/>
        <v>1.3360053440213761E-4</v>
      </c>
      <c r="M7" s="86" t="s">
        <v>722</v>
      </c>
    </row>
    <row r="8" spans="1:13" x14ac:dyDescent="0.4">
      <c r="A8" s="199"/>
      <c r="B8" s="73" t="s">
        <v>438</v>
      </c>
      <c r="C8" s="91">
        <v>10</v>
      </c>
      <c r="D8" s="139" t="s">
        <v>741</v>
      </c>
      <c r="E8" s="139" t="s">
        <v>742</v>
      </c>
      <c r="F8" s="139" t="s">
        <v>743</v>
      </c>
      <c r="G8" s="91">
        <f>$C8*ROUND((2*365)+(46*365/60),0)</f>
        <v>10100</v>
      </c>
      <c r="H8" s="91">
        <f>$C8*ROUND((2*365)+(0*365/60),0)</f>
        <v>7300</v>
      </c>
      <c r="I8" s="91">
        <f>$C8*ROUND((3*365)+(0*365/60),0)</f>
        <v>10950</v>
      </c>
      <c r="J8" s="180">
        <f t="shared" si="0"/>
        <v>9.9009900990099017E-5</v>
      </c>
      <c r="K8" s="180">
        <f t="shared" si="1"/>
        <v>9.1324200913242012E-5</v>
      </c>
      <c r="L8" s="180">
        <f t="shared" si="2"/>
        <v>1.36986301369863E-4</v>
      </c>
      <c r="M8" s="201" t="s">
        <v>664</v>
      </c>
    </row>
    <row r="9" spans="1:13" x14ac:dyDescent="0.4">
      <c r="A9" s="199"/>
      <c r="B9" s="73" t="s">
        <v>439</v>
      </c>
      <c r="C9" s="91">
        <v>10</v>
      </c>
      <c r="D9" s="139" t="s">
        <v>741</v>
      </c>
      <c r="E9" s="139" t="s">
        <v>742</v>
      </c>
      <c r="F9" s="139" t="s">
        <v>743</v>
      </c>
      <c r="G9" s="91">
        <f t="shared" ref="G9:G10" si="3">$C9*ROUND((2*365)+(46*365/60),0)</f>
        <v>10100</v>
      </c>
      <c r="H9" s="91">
        <f>$C9*ROUND((2*365)+(0*365/60),0)</f>
        <v>7300</v>
      </c>
      <c r="I9" s="91">
        <f>$C9*ROUND((3*365)+(0*365/60),0)</f>
        <v>10950</v>
      </c>
      <c r="J9" s="180">
        <f t="shared" si="0"/>
        <v>9.9009900990099017E-5</v>
      </c>
      <c r="K9" s="180">
        <f t="shared" si="1"/>
        <v>9.1324200913242012E-5</v>
      </c>
      <c r="L9" s="180">
        <f t="shared" si="2"/>
        <v>1.36986301369863E-4</v>
      </c>
      <c r="M9" s="202"/>
    </row>
    <row r="10" spans="1:13" x14ac:dyDescent="0.4">
      <c r="A10" s="200"/>
      <c r="B10" s="73" t="s">
        <v>621</v>
      </c>
      <c r="C10" s="91">
        <v>10</v>
      </c>
      <c r="D10" s="139" t="s">
        <v>741</v>
      </c>
      <c r="E10" s="139" t="s">
        <v>742</v>
      </c>
      <c r="F10" s="139" t="s">
        <v>743</v>
      </c>
      <c r="G10" s="91">
        <f t="shared" si="3"/>
        <v>10100</v>
      </c>
      <c r="H10" s="91">
        <f>$C10*ROUND((2*365)+(0*365/60),0)</f>
        <v>7300</v>
      </c>
      <c r="I10" s="91">
        <f>$C10*ROUND((3*365)+(0*365/60),0)</f>
        <v>10950</v>
      </c>
      <c r="J10" s="180">
        <f t="shared" si="0"/>
        <v>9.9009900990099017E-5</v>
      </c>
      <c r="K10" s="180">
        <f t="shared" si="1"/>
        <v>9.1324200913242012E-5</v>
      </c>
      <c r="L10" s="180">
        <f t="shared" si="2"/>
        <v>1.36986301369863E-4</v>
      </c>
      <c r="M10" s="203"/>
    </row>
    <row r="11" spans="1:13" ht="29.15" x14ac:dyDescent="0.4">
      <c r="A11" s="198" t="s">
        <v>447</v>
      </c>
      <c r="B11" s="73" t="s">
        <v>250</v>
      </c>
      <c r="C11" s="91">
        <v>5</v>
      </c>
      <c r="D11" s="127">
        <v>24</v>
      </c>
      <c r="E11" s="139" t="s">
        <v>241</v>
      </c>
      <c r="F11" s="139" t="s">
        <v>241</v>
      </c>
      <c r="G11" s="91">
        <f>$C11*365*D11</f>
        <v>43800</v>
      </c>
      <c r="H11" s="139" t="s">
        <v>241</v>
      </c>
      <c r="I11" s="139" t="s">
        <v>241</v>
      </c>
      <c r="J11" s="180">
        <f t="shared" si="0"/>
        <v>2.2831050228310503E-5</v>
      </c>
      <c r="K11" s="181" t="s">
        <v>241</v>
      </c>
      <c r="L11" s="181" t="s">
        <v>241</v>
      </c>
      <c r="M11" s="86" t="s">
        <v>667</v>
      </c>
    </row>
    <row r="12" spans="1:13" x14ac:dyDescent="0.4">
      <c r="A12" s="199"/>
      <c r="B12" s="73" t="s">
        <v>464</v>
      </c>
      <c r="C12" s="69" t="s">
        <v>241</v>
      </c>
      <c r="D12" s="69" t="s">
        <v>241</v>
      </c>
      <c r="E12" s="69" t="s">
        <v>241</v>
      </c>
      <c r="F12" s="69" t="s">
        <v>241</v>
      </c>
      <c r="G12" s="69" t="s">
        <v>241</v>
      </c>
      <c r="H12" s="69" t="s">
        <v>241</v>
      </c>
      <c r="I12" s="69" t="s">
        <v>241</v>
      </c>
      <c r="J12" s="181" t="s">
        <v>241</v>
      </c>
      <c r="K12" s="181" t="s">
        <v>241</v>
      </c>
      <c r="L12" s="181" t="s">
        <v>241</v>
      </c>
      <c r="M12" s="69" t="s">
        <v>611</v>
      </c>
    </row>
    <row r="13" spans="1:13" x14ac:dyDescent="0.4">
      <c r="A13" s="200"/>
      <c r="B13" s="73" t="s">
        <v>463</v>
      </c>
      <c r="C13" s="69" t="s">
        <v>241</v>
      </c>
      <c r="D13" s="69" t="s">
        <v>241</v>
      </c>
      <c r="E13" s="69" t="s">
        <v>241</v>
      </c>
      <c r="F13" s="69" t="s">
        <v>241</v>
      </c>
      <c r="G13" s="69" t="s">
        <v>241</v>
      </c>
      <c r="H13" s="69" t="s">
        <v>241</v>
      </c>
      <c r="I13" s="69" t="s">
        <v>241</v>
      </c>
      <c r="J13" s="181" t="s">
        <v>241</v>
      </c>
      <c r="K13" s="181" t="s">
        <v>241</v>
      </c>
      <c r="L13" s="181" t="s">
        <v>241</v>
      </c>
      <c r="M13" s="69" t="s">
        <v>611</v>
      </c>
    </row>
    <row r="14" spans="1:13" x14ac:dyDescent="0.4">
      <c r="A14" s="70"/>
      <c r="B14" s="29"/>
    </row>
    <row r="15" spans="1:13" ht="18.45" x14ac:dyDescent="0.5">
      <c r="A15" s="28" t="s">
        <v>675</v>
      </c>
    </row>
    <row r="16" spans="1:13" ht="75" customHeight="1" x14ac:dyDescent="0.4">
      <c r="A16" s="214" t="s">
        <v>440</v>
      </c>
      <c r="B16" s="215"/>
      <c r="C16" s="207" t="s">
        <v>674</v>
      </c>
      <c r="D16" s="213" t="s">
        <v>658</v>
      </c>
      <c r="E16" s="213"/>
      <c r="F16" s="213"/>
      <c r="G16" s="204" t="s">
        <v>683</v>
      </c>
      <c r="H16" s="205"/>
      <c r="I16" s="206"/>
      <c r="J16" s="146" t="s">
        <v>253</v>
      </c>
      <c r="K16" s="218" t="s">
        <v>600</v>
      </c>
      <c r="L16" s="218"/>
      <c r="M16" s="218"/>
    </row>
    <row r="17" spans="1:13" ht="29.15" x14ac:dyDescent="0.4">
      <c r="A17" s="216"/>
      <c r="B17" s="217"/>
      <c r="C17" s="208"/>
      <c r="D17" s="124" t="s">
        <v>618</v>
      </c>
      <c r="E17" s="124" t="s">
        <v>619</v>
      </c>
      <c r="F17" s="124" t="s">
        <v>620</v>
      </c>
      <c r="G17" s="124" t="s">
        <v>618</v>
      </c>
      <c r="H17" s="124" t="s">
        <v>619</v>
      </c>
      <c r="I17" s="124" t="s">
        <v>620</v>
      </c>
      <c r="J17" s="150"/>
      <c r="K17" s="218"/>
      <c r="L17" s="218"/>
      <c r="M17" s="218"/>
    </row>
    <row r="18" spans="1:13" ht="48" customHeight="1" x14ac:dyDescent="0.4">
      <c r="A18" s="220" t="s">
        <v>672</v>
      </c>
      <c r="B18" s="221"/>
      <c r="C18" s="95">
        <f>47556.816*1000</f>
        <v>47556816</v>
      </c>
      <c r="D18" s="73">
        <v>5.5</v>
      </c>
      <c r="E18" s="73">
        <v>3</v>
      </c>
      <c r="F18" s="73">
        <v>10</v>
      </c>
      <c r="G18" s="149">
        <f>C18/(4.74*1000000000000*D18)</f>
        <v>1.8241970080552359E-6</v>
      </c>
      <c r="H18" s="149">
        <f>C18/(4.74*1000000000000*F18)</f>
        <v>1.0033083544303798E-6</v>
      </c>
      <c r="I18" s="149">
        <f>C18/(4.74*1000000000000*E18)</f>
        <v>3.3443611814345993E-6</v>
      </c>
      <c r="J18" s="147" t="s">
        <v>673</v>
      </c>
      <c r="K18" s="219" t="s">
        <v>677</v>
      </c>
      <c r="L18" s="219"/>
      <c r="M18" s="219"/>
    </row>
    <row r="19" spans="1:13" ht="48" customHeight="1" x14ac:dyDescent="0.4">
      <c r="A19" s="220" t="s">
        <v>685</v>
      </c>
      <c r="B19" s="221"/>
      <c r="C19" s="95">
        <f>1787*1000000/10</f>
        <v>178700000</v>
      </c>
      <c r="D19" s="73">
        <v>5.5</v>
      </c>
      <c r="E19" s="73">
        <v>3</v>
      </c>
      <c r="F19" s="73">
        <v>10</v>
      </c>
      <c r="G19" s="149">
        <f>C19/(4.74*1000000000000*D19)</f>
        <v>6.8546221710778674E-6</v>
      </c>
      <c r="H19" s="149">
        <f>C19/(4.74*1000000000000*F19)</f>
        <v>3.770042194092827E-6</v>
      </c>
      <c r="I19" s="149">
        <f>C19/(4.74*1000000000000*E19)</f>
        <v>1.2566807313642757E-5</v>
      </c>
      <c r="J19" s="148" t="s">
        <v>673</v>
      </c>
      <c r="K19" s="219" t="s">
        <v>686</v>
      </c>
      <c r="L19" s="219"/>
      <c r="M19" s="219"/>
    </row>
    <row r="20" spans="1:13" ht="49.5" customHeight="1" x14ac:dyDescent="0.4">
      <c r="A20" s="220" t="s">
        <v>670</v>
      </c>
      <c r="B20" s="221"/>
      <c r="C20" s="95">
        <f>C18/42</f>
        <v>1132305.142857143</v>
      </c>
      <c r="D20" s="73">
        <v>5.5</v>
      </c>
      <c r="E20" s="73">
        <v>3</v>
      </c>
      <c r="F20" s="73">
        <v>10</v>
      </c>
      <c r="G20" s="149">
        <f>C20*125/(4.74*1000000000000*D20)</f>
        <v>5.4291577620691547E-6</v>
      </c>
      <c r="H20" s="149">
        <f>C20*125/(4.74*1000000000000*F20)</f>
        <v>2.9860367691380352E-6</v>
      </c>
      <c r="I20" s="149">
        <f>C20*125/(4.74*1000000000000*E20)</f>
        <v>9.9534558971267831E-6</v>
      </c>
      <c r="J20" s="147" t="s">
        <v>681</v>
      </c>
      <c r="K20" s="219" t="s">
        <v>682</v>
      </c>
      <c r="L20" s="219"/>
      <c r="M20" s="219"/>
    </row>
    <row r="22" spans="1:13" ht="18.45" x14ac:dyDescent="0.5">
      <c r="A22" s="28" t="s">
        <v>698</v>
      </c>
    </row>
    <row r="23" spans="1:13" x14ac:dyDescent="0.4">
      <c r="A23" s="1"/>
      <c r="B23" s="154" t="s">
        <v>699</v>
      </c>
      <c r="C23" s="154" t="s">
        <v>694</v>
      </c>
      <c r="D23" s="154" t="s">
        <v>695</v>
      </c>
    </row>
    <row r="24" spans="1:13" x14ac:dyDescent="0.4">
      <c r="A24" s="67" t="s">
        <v>696</v>
      </c>
      <c r="B24" s="154">
        <v>1.25</v>
      </c>
      <c r="C24" s="159">
        <v>1.5</v>
      </c>
      <c r="D24" s="159">
        <v>2</v>
      </c>
    </row>
    <row r="25" spans="1:13" x14ac:dyDescent="0.4">
      <c r="A25" s="155" t="s">
        <v>131</v>
      </c>
      <c r="B25" s="157">
        <f>1/($C4*B$24*ROUND((5*365)+(30*365/60),0))</f>
        <v>1.3280212483399734E-4</v>
      </c>
      <c r="C25" s="157">
        <f>1/($C4*C$24*ROUND((5*365)+(30*365/60),0))</f>
        <v>1.1066843736166445E-4</v>
      </c>
      <c r="D25" s="157">
        <f>1/($C4*D$24*ROUND((5*365)+(30*365/60),0))</f>
        <v>8.3001328021248334E-5</v>
      </c>
    </row>
    <row r="26" spans="1:13" x14ac:dyDescent="0.4">
      <c r="A26" s="155" t="s">
        <v>133</v>
      </c>
      <c r="B26" s="157">
        <f>1/($C5*B$24*ROUND((2*365)+(30*365/60),0))</f>
        <v>2.9207740051113545E-4</v>
      </c>
      <c r="C26" s="157">
        <f t="shared" ref="C26:D26" si="4">1/($C5*C$24*ROUND((2*365)+(30*365/60),0))</f>
        <v>2.4339783375927954E-4</v>
      </c>
      <c r="D26" s="157">
        <f t="shared" si="4"/>
        <v>1.8254837531945966E-4</v>
      </c>
    </row>
    <row r="27" spans="1:13" x14ac:dyDescent="0.4">
      <c r="A27" s="155" t="s">
        <v>132</v>
      </c>
      <c r="B27" s="157">
        <f>1/($C6*B$24*ROUND((4*365)+(0*365/60),0))</f>
        <v>1.36986301369863E-4</v>
      </c>
      <c r="C27" s="157">
        <f>1/($C6*C$24*ROUND((4*365)+(0*365/60),0))</f>
        <v>1.1415525114155251E-4</v>
      </c>
      <c r="D27" s="157">
        <f>1/($C6*D$24*ROUND((4*365)+(0*365/60),0))</f>
        <v>8.5616438356164384E-5</v>
      </c>
    </row>
    <row r="28" spans="1:13" x14ac:dyDescent="0.4">
      <c r="A28" s="155" t="s">
        <v>443</v>
      </c>
      <c r="B28" s="157">
        <f>1/($C7*B$24*ROUND((4*365)+(48*365/60),0))</f>
        <v>9.1324200913242012E-5</v>
      </c>
      <c r="C28" s="157">
        <f>1/($C7*C$24*ROUND((4*365)+(48*365/60),0))</f>
        <v>7.6103500761035014E-5</v>
      </c>
      <c r="D28" s="157">
        <f>1/($C7*D$24*ROUND((4*365)+(48*365/60),0))</f>
        <v>5.7077625570776254E-5</v>
      </c>
    </row>
    <row r="29" spans="1:13" x14ac:dyDescent="0.4">
      <c r="A29" s="155" t="s">
        <v>438</v>
      </c>
      <c r="B29" s="157">
        <f t="shared" ref="B29:D31" si="5">1/($C8*B$24*ROUND((2*365)+(46*365/60),0))</f>
        <v>7.9207920792079211E-5</v>
      </c>
      <c r="C29" s="157">
        <f t="shared" si="5"/>
        <v>6.6006600660066002E-5</v>
      </c>
      <c r="D29" s="157">
        <f t="shared" si="5"/>
        <v>4.9504950495049508E-5</v>
      </c>
    </row>
    <row r="30" spans="1:13" x14ac:dyDescent="0.4">
      <c r="A30" s="155" t="s">
        <v>439</v>
      </c>
      <c r="B30" s="157">
        <f t="shared" si="5"/>
        <v>7.9207920792079211E-5</v>
      </c>
      <c r="C30" s="157">
        <f t="shared" si="5"/>
        <v>6.6006600660066002E-5</v>
      </c>
      <c r="D30" s="157">
        <f t="shared" si="5"/>
        <v>4.9504950495049508E-5</v>
      </c>
    </row>
    <row r="31" spans="1:13" x14ac:dyDescent="0.4">
      <c r="A31" s="155" t="s">
        <v>621</v>
      </c>
      <c r="B31" s="157">
        <f t="shared" si="5"/>
        <v>7.9207920792079211E-5</v>
      </c>
      <c r="C31" s="157">
        <f t="shared" si="5"/>
        <v>6.6006600660066002E-5</v>
      </c>
      <c r="D31" s="157">
        <f t="shared" si="5"/>
        <v>4.9504950495049508E-5</v>
      </c>
    </row>
    <row r="32" spans="1:13" x14ac:dyDescent="0.4">
      <c r="A32" s="156" t="s">
        <v>697</v>
      </c>
      <c r="C32" s="154"/>
      <c r="D32" s="154"/>
    </row>
    <row r="33" spans="1:4" x14ac:dyDescent="0.4">
      <c r="A33" s="155" t="s">
        <v>250</v>
      </c>
      <c r="B33" s="157">
        <f>1/($C11*B$24*365*$D11)</f>
        <v>1.8264840182648402E-5</v>
      </c>
      <c r="C33" s="157">
        <f>1/($C11*C$24*365*$D11)</f>
        <v>1.5220700152207001E-5</v>
      </c>
      <c r="D33" s="157">
        <f>1/($C11*D$24*365*$D11)</f>
        <v>1.1415525114155251E-5</v>
      </c>
    </row>
    <row r="34" spans="1:4" x14ac:dyDescent="0.4">
      <c r="A34" s="67" t="s">
        <v>693</v>
      </c>
      <c r="B34" s="154"/>
      <c r="C34" s="154"/>
      <c r="D34" s="154"/>
    </row>
    <row r="35" spans="1:4" x14ac:dyDescent="0.4">
      <c r="A35" s="155" t="s">
        <v>672</v>
      </c>
      <c r="B35" s="158">
        <f t="shared" ref="B35:D37" si="6">$C18/(4.74*1000000000000*$D18*B$24)</f>
        <v>1.4593576064441886E-6</v>
      </c>
      <c r="C35" s="158">
        <f t="shared" si="6"/>
        <v>1.2161313387034906E-6</v>
      </c>
      <c r="D35" s="158">
        <f t="shared" si="6"/>
        <v>9.1209850402761793E-7</v>
      </c>
    </row>
    <row r="36" spans="1:4" x14ac:dyDescent="0.4">
      <c r="A36" s="155" t="s">
        <v>685</v>
      </c>
      <c r="B36" s="158">
        <f t="shared" si="6"/>
        <v>5.4836977368622939E-6</v>
      </c>
      <c r="C36" s="158">
        <f t="shared" si="6"/>
        <v>4.5697481140519116E-6</v>
      </c>
      <c r="D36" s="158">
        <f t="shared" si="6"/>
        <v>3.4273110855389337E-6</v>
      </c>
    </row>
    <row r="37" spans="1:4" x14ac:dyDescent="0.4">
      <c r="A37" s="155" t="s">
        <v>670</v>
      </c>
      <c r="B37" s="158">
        <f t="shared" si="6"/>
        <v>3.474660967724259E-8</v>
      </c>
      <c r="C37" s="158">
        <f t="shared" si="6"/>
        <v>2.8955508064368826E-8</v>
      </c>
      <c r="D37" s="158">
        <f t="shared" si="6"/>
        <v>2.171663104827662E-8</v>
      </c>
    </row>
  </sheetData>
  <mergeCells count="21">
    <mergeCell ref="K18:M18"/>
    <mergeCell ref="K20:M20"/>
    <mergeCell ref="A18:B18"/>
    <mergeCell ref="A20:B20"/>
    <mergeCell ref="A19:B19"/>
    <mergeCell ref="K19:M19"/>
    <mergeCell ref="D16:F16"/>
    <mergeCell ref="C16:C17"/>
    <mergeCell ref="G16:I16"/>
    <mergeCell ref="A16:B17"/>
    <mergeCell ref="K16:M17"/>
    <mergeCell ref="M8:M10"/>
    <mergeCell ref="A11:A13"/>
    <mergeCell ref="A4:A10"/>
    <mergeCell ref="D2:F2"/>
    <mergeCell ref="G2:I2"/>
    <mergeCell ref="J2:L2"/>
    <mergeCell ref="C2:C3"/>
    <mergeCell ref="B2:B3"/>
    <mergeCell ref="A2:A3"/>
    <mergeCell ref="M2:M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BB9E-9A1B-494B-9445-C7A87F03B91D}">
  <dimension ref="A1:M17"/>
  <sheetViews>
    <sheetView showGridLines="0" zoomScale="85" zoomScaleNormal="85" workbookViewId="0">
      <selection activeCell="H13" sqref="H13"/>
    </sheetView>
  </sheetViews>
  <sheetFormatPr defaultRowHeight="14.6" x14ac:dyDescent="0.4"/>
  <cols>
    <col min="1" max="1" width="29.3828125" bestFit="1" customWidth="1"/>
    <col min="2" max="2" width="18.53515625" bestFit="1" customWidth="1"/>
    <col min="3" max="3" width="16.3046875" customWidth="1"/>
    <col min="4" max="4" width="15.69140625" customWidth="1"/>
    <col min="5" max="12" width="15.3046875" customWidth="1"/>
    <col min="13" max="13" width="69.69140625" customWidth="1"/>
  </cols>
  <sheetData>
    <row r="1" spans="1:13" ht="45" customHeight="1" x14ac:dyDescent="0.4">
      <c r="A1" s="209" t="s">
        <v>468</v>
      </c>
      <c r="B1" s="209" t="s">
        <v>653</v>
      </c>
      <c r="C1" s="222" t="s">
        <v>603</v>
      </c>
      <c r="D1" s="222" t="s">
        <v>604</v>
      </c>
      <c r="E1" s="204" t="s">
        <v>606</v>
      </c>
      <c r="F1" s="205"/>
      <c r="G1" s="206"/>
      <c r="H1" s="124" t="s">
        <v>608</v>
      </c>
      <c r="I1" s="124" t="s">
        <v>609</v>
      </c>
      <c r="J1" s="204" t="s">
        <v>655</v>
      </c>
      <c r="K1" s="205"/>
      <c r="L1" s="206"/>
      <c r="M1" s="218" t="s">
        <v>600</v>
      </c>
    </row>
    <row r="2" spans="1:13" x14ac:dyDescent="0.4">
      <c r="A2" s="210"/>
      <c r="B2" s="210"/>
      <c r="C2" s="223"/>
      <c r="D2" s="223"/>
      <c r="E2" s="124" t="s">
        <v>618</v>
      </c>
      <c r="F2" s="124" t="s">
        <v>619</v>
      </c>
      <c r="G2" s="124" t="s">
        <v>620</v>
      </c>
      <c r="H2" s="124"/>
      <c r="I2" s="124"/>
      <c r="J2" s="124" t="s">
        <v>618</v>
      </c>
      <c r="K2" s="124" t="s">
        <v>619</v>
      </c>
      <c r="L2" s="124" t="s">
        <v>620</v>
      </c>
      <c r="M2" s="218"/>
    </row>
    <row r="3" spans="1:13" ht="17.25" customHeight="1" x14ac:dyDescent="0.4">
      <c r="A3" s="73" t="s">
        <v>22</v>
      </c>
      <c r="B3" s="140" t="s">
        <v>471</v>
      </c>
      <c r="C3" s="91">
        <v>76.188339291972881</v>
      </c>
      <c r="D3" s="131">
        <f>C3/SUM($C$3:$C$5,$C$8:$C$9)</f>
        <v>0.38827451853771755</v>
      </c>
      <c r="E3" s="189">
        <f>$D3*Electricity_Intensity!D$12</f>
        <v>1.6071616147067549E-2</v>
      </c>
      <c r="F3" s="189">
        <f>$D3*Electricity_Intensity!E$12</f>
        <v>1.205371211030066E-2</v>
      </c>
      <c r="G3" s="189">
        <f>$D3*Electricity_Intensity!F$12</f>
        <v>2.0089520183834437E-2</v>
      </c>
      <c r="H3" s="189">
        <f>0.0018*997*E3</f>
        <v>2.8842122337527424E-2</v>
      </c>
      <c r="I3" s="189">
        <f>H3*((550000/0.3)/130000000)</f>
        <v>4.0674787911897656E-4</v>
      </c>
      <c r="J3" s="189">
        <f>Electricity_Intensity!D$11*0.5*$D3</f>
        <v>3.4395002393027498E-3</v>
      </c>
      <c r="K3" s="189">
        <f>Electricity_Intensity!E$11*0.5*$D3</f>
        <v>2.47644017229798E-3</v>
      </c>
      <c r="L3" s="189">
        <f>Electricity_Intensity!F$11*0.5*$D3</f>
        <v>3.9554252751981623E-3</v>
      </c>
      <c r="M3" s="219" t="s">
        <v>610</v>
      </c>
    </row>
    <row r="4" spans="1:13" ht="15" customHeight="1" x14ac:dyDescent="0.4">
      <c r="A4" s="73" t="s">
        <v>25</v>
      </c>
      <c r="B4" s="140" t="s">
        <v>474</v>
      </c>
      <c r="C4" s="130">
        <v>67.141577371201677</v>
      </c>
      <c r="D4" s="131">
        <f t="shared" ref="D4:D5" si="0">C4/SUM($C$3:$C$5,$C$8:$C$9)</f>
        <v>0.34216999438407347</v>
      </c>
      <c r="E4" s="189">
        <f>$D4*Electricity_Intensity!D$12</f>
        <v>1.4163239008049623E-2</v>
      </c>
      <c r="F4" s="189">
        <f>$D4*Electricity_Intensity!E$12</f>
        <v>1.0622429256037217E-2</v>
      </c>
      <c r="G4" s="189">
        <f>$D4*Electricity_Intensity!F$12</f>
        <v>1.7704048760062027E-2</v>
      </c>
      <c r="H4" s="189">
        <f t="shared" ref="H4:H5" si="1">0.0018*997*E4</f>
        <v>2.5417348723845854E-2</v>
      </c>
      <c r="I4" s="189">
        <f t="shared" ref="I4:I5" si="2">H4*((550000/0.3)/130000000)</f>
        <v>3.5844978969526209E-4</v>
      </c>
      <c r="J4" s="189">
        <f>Electricity_Intensity!D$11*0.5*$D4</f>
        <v>3.0310868248540914E-3</v>
      </c>
      <c r="K4" s="189">
        <f>Electricity_Intensity!E$11*0.5*$D4</f>
        <v>2.1823825138949458E-3</v>
      </c>
      <c r="L4" s="189">
        <f>Electricity_Intensity!F$11*0.5*$D4</f>
        <v>3.4857498485822047E-3</v>
      </c>
      <c r="M4" s="219"/>
    </row>
    <row r="5" spans="1:13" ht="15" customHeight="1" x14ac:dyDescent="0.4">
      <c r="A5" s="73" t="s">
        <v>28</v>
      </c>
      <c r="B5" s="140" t="s">
        <v>455</v>
      </c>
      <c r="C5" s="130">
        <f>SUM(C6:C7)</f>
        <v>42.934658325875176</v>
      </c>
      <c r="D5" s="131">
        <f t="shared" si="0"/>
        <v>0.21880558028933136</v>
      </c>
      <c r="E5" s="189">
        <f>$D5*Electricity_Intensity!D$12</f>
        <v>9.0568892094444742E-3</v>
      </c>
      <c r="F5" s="189">
        <f>$D5*Electricity_Intensity!E$12</f>
        <v>6.7926669070833556E-3</v>
      </c>
      <c r="G5" s="189">
        <f>$D5*Electricity_Intensity!F$12</f>
        <v>1.1321111511805594E-2</v>
      </c>
      <c r="H5" s="189">
        <f t="shared" si="1"/>
        <v>1.6253493375269053E-2</v>
      </c>
      <c r="I5" s="189">
        <f t="shared" si="2"/>
        <v>2.2921593221533282E-4</v>
      </c>
      <c r="J5" s="189">
        <f>Electricity_Intensity!D$11*0.5*$D5</f>
        <v>1.9382725618983039E-3</v>
      </c>
      <c r="K5" s="189">
        <f>Electricity_Intensity!E$11*0.5*$D5</f>
        <v>1.395556244566779E-3</v>
      </c>
      <c r="L5" s="189">
        <f>Electricity_Intensity!F$11*0.5*$D5</f>
        <v>2.229013446183049E-3</v>
      </c>
      <c r="M5" s="219"/>
    </row>
    <row r="6" spans="1:13" x14ac:dyDescent="0.4">
      <c r="A6" s="142" t="s">
        <v>602</v>
      </c>
      <c r="B6" s="143"/>
      <c r="C6" s="144">
        <v>5.7325845020612984</v>
      </c>
      <c r="D6" s="145"/>
      <c r="E6" s="190"/>
      <c r="F6" s="190"/>
      <c r="G6" s="190"/>
      <c r="H6" s="189"/>
      <c r="I6" s="189"/>
      <c r="J6" s="189"/>
      <c r="K6" s="189"/>
      <c r="L6" s="189"/>
      <c r="M6" s="219"/>
    </row>
    <row r="7" spans="1:13" x14ac:dyDescent="0.4">
      <c r="A7" s="142" t="s">
        <v>155</v>
      </c>
      <c r="B7" s="143"/>
      <c r="C7" s="144">
        <v>37.202073823813876</v>
      </c>
      <c r="D7" s="145"/>
      <c r="E7" s="190"/>
      <c r="F7" s="190"/>
      <c r="G7" s="190"/>
      <c r="H7" s="189"/>
      <c r="I7" s="189"/>
      <c r="J7" s="189"/>
      <c r="K7" s="189"/>
      <c r="L7" s="189"/>
      <c r="M7" s="219"/>
    </row>
    <row r="8" spans="1:13" x14ac:dyDescent="0.4">
      <c r="A8" s="73" t="s">
        <v>31</v>
      </c>
      <c r="B8" s="140" t="s">
        <v>456</v>
      </c>
      <c r="C8" s="91">
        <v>5.2491155968140601</v>
      </c>
      <c r="D8" s="131">
        <f t="shared" ref="D8:D9" si="3">C8/SUM($C$3:$C$5,$C$8:$C$9)</f>
        <v>2.6750784306917359E-2</v>
      </c>
      <c r="E8" s="189">
        <f>$D8*Electricity_Intensity!D$12</f>
        <v>1.1072792997926552E-3</v>
      </c>
      <c r="F8" s="189">
        <f>$D8*Electricity_Intensity!E$12</f>
        <v>8.3045947484449128E-4</v>
      </c>
      <c r="G8" s="189">
        <f>$D8*Electricity_Intensity!F$12</f>
        <v>1.384099124740819E-3</v>
      </c>
      <c r="H8" s="189">
        <f t="shared" ref="H8:H9" si="4">0.0018*997*E8</f>
        <v>1.9871234314078989E-3</v>
      </c>
      <c r="I8" s="189">
        <f t="shared" ref="I8:I9" si="5">H8*((550000/0.3)/130000000)</f>
        <v>2.802353557113704E-5</v>
      </c>
      <c r="J8" s="191">
        <f>Electricity_Intensity!D$11*0.5*$D8</f>
        <v>2.3696978460419001E-4</v>
      </c>
      <c r="K8" s="189">
        <f>Electricity_Intensity!E$11*0.5*$D8</f>
        <v>1.706182449150168E-4</v>
      </c>
      <c r="L8" s="189">
        <f>Electricity_Intensity!F$11*0.5*$D8</f>
        <v>2.7251525229481848E-4</v>
      </c>
      <c r="M8" s="219"/>
    </row>
    <row r="9" spans="1:13" x14ac:dyDescent="0.4">
      <c r="A9" s="73" t="s">
        <v>34</v>
      </c>
      <c r="B9" s="140" t="s">
        <v>605</v>
      </c>
      <c r="C9" s="91">
        <v>4.7091766239292339</v>
      </c>
      <c r="D9" s="131">
        <f t="shared" si="3"/>
        <v>2.3999122481960195E-2</v>
      </c>
      <c r="E9" s="189">
        <f>$D9*Electricity_Intensity!D$12</f>
        <v>9.9338139893683343E-4</v>
      </c>
      <c r="F9" s="189">
        <f>$D9*Electricity_Intensity!E$12</f>
        <v>7.4503604920262497E-4</v>
      </c>
      <c r="G9" s="189">
        <f>$D9*Electricity_Intensity!F$12</f>
        <v>1.2417267486710417E-3</v>
      </c>
      <c r="H9" s="189">
        <f t="shared" si="4"/>
        <v>1.7827222585320413E-3</v>
      </c>
      <c r="I9" s="189">
        <f t="shared" si="5"/>
        <v>2.5140954928015971E-5</v>
      </c>
      <c r="J9" s="191">
        <f>Electricity_Intensity!D$11*0.5*$D9</f>
        <v>2.1259439798066367E-4</v>
      </c>
      <c r="K9" s="189">
        <f>Electricity_Intensity!E$11*0.5*$D9</f>
        <v>1.5306796654607785E-4</v>
      </c>
      <c r="L9" s="189">
        <f>Electricity_Intensity!F$11*0.5*$D9</f>
        <v>2.4448355767776316E-4</v>
      </c>
      <c r="M9" s="219"/>
    </row>
    <row r="10" spans="1:13" x14ac:dyDescent="0.4">
      <c r="B10" s="141"/>
    </row>
    <row r="12" spans="1:13" x14ac:dyDescent="0.4">
      <c r="E12" s="92"/>
      <c r="F12" s="92"/>
      <c r="G12" s="92"/>
      <c r="H12" s="92"/>
      <c r="I12" s="92"/>
      <c r="J12" s="92"/>
      <c r="K12" s="92"/>
      <c r="L12" s="92"/>
    </row>
    <row r="13" spans="1:13" x14ac:dyDescent="0.4">
      <c r="D13" s="94"/>
      <c r="E13" s="87"/>
      <c r="F13" s="87"/>
      <c r="G13" s="87"/>
      <c r="H13" s="87"/>
      <c r="I13" s="87"/>
      <c r="J13" s="87"/>
      <c r="K13" s="87"/>
      <c r="L13" s="87"/>
    </row>
    <row r="14" spans="1:13" x14ac:dyDescent="0.4">
      <c r="E14" s="88"/>
      <c r="F14" s="88"/>
      <c r="G14" s="88"/>
      <c r="H14" s="87">
        <f>H4+H8+H9+H3</f>
        <v>5.8029316751313217E-2</v>
      </c>
      <c r="I14" s="87">
        <f>I4+I8+I9+I3</f>
        <v>8.1836215931339168E-4</v>
      </c>
    </row>
    <row r="15" spans="1:13" x14ac:dyDescent="0.4">
      <c r="J15" s="87"/>
      <c r="K15" s="87"/>
      <c r="L15" s="87"/>
    </row>
    <row r="17" spans="8:12" x14ac:dyDescent="0.4">
      <c r="H17" s="89"/>
      <c r="I17" s="89"/>
      <c r="J17" s="89"/>
      <c r="K17" s="89"/>
      <c r="L17" s="89"/>
    </row>
  </sheetData>
  <mergeCells count="8">
    <mergeCell ref="M3:M9"/>
    <mergeCell ref="M1:M2"/>
    <mergeCell ref="J1:L1"/>
    <mergeCell ref="E1:G1"/>
    <mergeCell ref="A1:A2"/>
    <mergeCell ref="C1:C2"/>
    <mergeCell ref="D1:D2"/>
    <mergeCell ref="B1:B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307A-2205-49C3-A9B6-321A0EB330A5}">
  <dimension ref="A1:H81"/>
  <sheetViews>
    <sheetView showGridLines="0" zoomScale="85" zoomScaleNormal="85" workbookViewId="0">
      <pane ySplit="1" topLeftCell="A2" activePane="bottomLeft" state="frozen"/>
      <selection pane="bottomLeft" activeCell="C1" sqref="C1"/>
    </sheetView>
  </sheetViews>
  <sheetFormatPr defaultRowHeight="14.6" x14ac:dyDescent="0.4"/>
  <cols>
    <col min="1" max="1" width="18.53515625" customWidth="1"/>
    <col min="2" max="2" width="24.15234375" customWidth="1"/>
    <col min="3" max="3" width="21.3828125" customWidth="1"/>
    <col min="4" max="4" width="7.3046875" style="27" bestFit="1" customWidth="1"/>
    <col min="5" max="5" width="10.3046875" style="27" customWidth="1"/>
    <col min="6" max="6" width="10.69140625" bestFit="1" customWidth="1"/>
    <col min="7" max="7" width="139.15234375" bestFit="1" customWidth="1"/>
    <col min="8" max="8" width="9.3046875" style="27"/>
  </cols>
  <sheetData>
    <row r="1" spans="1:8" x14ac:dyDescent="0.4">
      <c r="A1" s="47" t="s">
        <v>0</v>
      </c>
      <c r="B1" s="47" t="s">
        <v>214</v>
      </c>
      <c r="C1" s="47" t="s">
        <v>1</v>
      </c>
      <c r="D1" s="48" t="s">
        <v>215</v>
      </c>
      <c r="E1" s="48" t="s">
        <v>134</v>
      </c>
      <c r="F1" s="48" t="s">
        <v>217</v>
      </c>
      <c r="G1" s="47" t="s">
        <v>218</v>
      </c>
    </row>
    <row r="2" spans="1:8" s="56" customFormat="1" x14ac:dyDescent="0.4">
      <c r="A2" s="60" t="s">
        <v>2</v>
      </c>
      <c r="B2" s="60" t="s">
        <v>129</v>
      </c>
      <c r="C2" s="60" t="s">
        <v>3</v>
      </c>
      <c r="D2" s="61">
        <f>1.5*(1/1000)*60</f>
        <v>0.09</v>
      </c>
      <c r="E2" s="62" t="s">
        <v>216</v>
      </c>
      <c r="F2" s="62" t="s">
        <v>221</v>
      </c>
      <c r="G2" s="60" t="s">
        <v>192</v>
      </c>
      <c r="H2" s="55"/>
    </row>
    <row r="3" spans="1:8" s="56" customFormat="1" x14ac:dyDescent="0.4">
      <c r="A3" s="53" t="s">
        <v>2</v>
      </c>
      <c r="B3" s="60" t="s">
        <v>129</v>
      </c>
      <c r="C3" s="53" t="s">
        <v>3</v>
      </c>
      <c r="D3" s="57">
        <f>2.6*(1/1000)*60</f>
        <v>0.15600000000000003</v>
      </c>
      <c r="E3" s="54" t="s">
        <v>216</v>
      </c>
      <c r="F3" s="54" t="s">
        <v>221</v>
      </c>
      <c r="G3" s="53" t="s">
        <v>192</v>
      </c>
      <c r="H3" s="55"/>
    </row>
    <row r="4" spans="1:8" s="56" customFormat="1" x14ac:dyDescent="0.4">
      <c r="A4" s="53" t="s">
        <v>2</v>
      </c>
      <c r="B4" s="60" t="s">
        <v>129</v>
      </c>
      <c r="C4" s="53" t="s">
        <v>5</v>
      </c>
      <c r="D4" s="57">
        <f>100/1000</f>
        <v>0.1</v>
      </c>
      <c r="E4" s="54" t="s">
        <v>216</v>
      </c>
      <c r="F4" s="54" t="s">
        <v>221</v>
      </c>
      <c r="G4" s="53" t="s">
        <v>146</v>
      </c>
      <c r="H4" s="55"/>
    </row>
    <row r="5" spans="1:8" s="52" customFormat="1" x14ac:dyDescent="0.4">
      <c r="A5" s="53" t="s">
        <v>2</v>
      </c>
      <c r="B5" s="60" t="s">
        <v>129</v>
      </c>
      <c r="C5" s="49" t="s">
        <v>147</v>
      </c>
      <c r="D5" s="58">
        <v>0.84</v>
      </c>
      <c r="E5" s="54" t="s">
        <v>216</v>
      </c>
      <c r="F5" s="50" t="s">
        <v>222</v>
      </c>
      <c r="G5" s="49" t="s">
        <v>150</v>
      </c>
      <c r="H5" s="51"/>
    </row>
    <row r="6" spans="1:8" s="52" customFormat="1" x14ac:dyDescent="0.4">
      <c r="A6" s="53" t="s">
        <v>2</v>
      </c>
      <c r="B6" s="60" t="s">
        <v>129</v>
      </c>
      <c r="C6" s="49" t="s">
        <v>4</v>
      </c>
      <c r="D6" s="58">
        <v>0.36</v>
      </c>
      <c r="E6" s="54" t="s">
        <v>216</v>
      </c>
      <c r="F6" s="50" t="s">
        <v>224</v>
      </c>
      <c r="G6" s="49" t="s">
        <v>201</v>
      </c>
      <c r="H6" s="51"/>
    </row>
    <row r="7" spans="1:8" s="52" customFormat="1" x14ac:dyDescent="0.4">
      <c r="A7" s="49" t="s">
        <v>135</v>
      </c>
      <c r="B7" s="49" t="s">
        <v>612</v>
      </c>
      <c r="C7" s="49" t="s">
        <v>125</v>
      </c>
      <c r="D7" s="58">
        <f>AVERAGE(400,1000)*(1/1000)*(1/8)*60*60/1000</f>
        <v>0.31500000000000006</v>
      </c>
      <c r="E7" s="54" t="s">
        <v>216</v>
      </c>
      <c r="F7" s="50" t="s">
        <v>226</v>
      </c>
      <c r="G7" s="26" t="s">
        <v>141</v>
      </c>
      <c r="H7" s="51"/>
    </row>
    <row r="8" spans="1:8" s="52" customFormat="1" x14ac:dyDescent="0.4">
      <c r="A8" s="49" t="s">
        <v>135</v>
      </c>
      <c r="B8" s="49" t="s">
        <v>612</v>
      </c>
      <c r="C8" s="49" t="s">
        <v>6</v>
      </c>
      <c r="D8" s="58">
        <v>0.3</v>
      </c>
      <c r="E8" s="54" t="s">
        <v>216</v>
      </c>
      <c r="F8" s="50" t="s">
        <v>228</v>
      </c>
      <c r="G8" s="26" t="s">
        <v>137</v>
      </c>
      <c r="H8" s="51"/>
    </row>
    <row r="9" spans="1:8" s="52" customFormat="1" x14ac:dyDescent="0.4">
      <c r="A9" s="49" t="s">
        <v>135</v>
      </c>
      <c r="B9" s="49" t="s">
        <v>612</v>
      </c>
      <c r="C9" s="49" t="s">
        <v>143</v>
      </c>
      <c r="D9" s="58">
        <f>0.5*(1/8)*60*60/1000</f>
        <v>0.22500000000000001</v>
      </c>
      <c r="E9" s="54" t="s">
        <v>216</v>
      </c>
      <c r="F9" s="50" t="s">
        <v>229</v>
      </c>
      <c r="G9" s="26" t="s">
        <v>145</v>
      </c>
      <c r="H9" s="51"/>
    </row>
    <row r="10" spans="1:8" s="52" customFormat="1" x14ac:dyDescent="0.4">
      <c r="A10" s="49" t="s">
        <v>135</v>
      </c>
      <c r="B10" s="49" t="s">
        <v>450</v>
      </c>
      <c r="C10" s="49" t="s">
        <v>125</v>
      </c>
      <c r="D10" s="58">
        <f>AVERAGE(500,2000)*(1/1000)*(1/8)*60*60/1000</f>
        <v>0.5625</v>
      </c>
      <c r="E10" s="54" t="s">
        <v>216</v>
      </c>
      <c r="F10" s="50" t="s">
        <v>226</v>
      </c>
      <c r="G10" s="26" t="s">
        <v>141</v>
      </c>
      <c r="H10" s="51"/>
    </row>
    <row r="11" spans="1:8" s="52" customFormat="1" x14ac:dyDescent="0.4">
      <c r="A11" s="49" t="s">
        <v>135</v>
      </c>
      <c r="B11" s="49" t="s">
        <v>450</v>
      </c>
      <c r="C11" s="49" t="s">
        <v>6</v>
      </c>
      <c r="D11" s="58">
        <v>0.7</v>
      </c>
      <c r="E11" s="54" t="s">
        <v>216</v>
      </c>
      <c r="F11" s="50" t="s">
        <v>228</v>
      </c>
      <c r="G11" s="26" t="s">
        <v>137</v>
      </c>
      <c r="H11" s="51"/>
    </row>
    <row r="12" spans="1:8" s="52" customFormat="1" x14ac:dyDescent="0.4">
      <c r="A12" s="49" t="s">
        <v>135</v>
      </c>
      <c r="B12" s="49" t="s">
        <v>450</v>
      </c>
      <c r="C12" s="49" t="s">
        <v>140</v>
      </c>
      <c r="D12" s="58">
        <v>0.8</v>
      </c>
      <c r="E12" s="54" t="s">
        <v>216</v>
      </c>
      <c r="F12" s="50" t="s">
        <v>225</v>
      </c>
      <c r="G12" s="26"/>
      <c r="H12" s="51"/>
    </row>
    <row r="13" spans="1:8" s="52" customFormat="1" x14ac:dyDescent="0.4">
      <c r="A13" s="49" t="s">
        <v>135</v>
      </c>
      <c r="B13" s="49" t="s">
        <v>450</v>
      </c>
      <c r="C13" s="49" t="s">
        <v>167</v>
      </c>
      <c r="D13" s="58">
        <v>0.7</v>
      </c>
      <c r="E13" s="54" t="s">
        <v>216</v>
      </c>
      <c r="F13" s="50" t="s">
        <v>230</v>
      </c>
      <c r="G13" s="26" t="s">
        <v>169</v>
      </c>
      <c r="H13" s="51"/>
    </row>
    <row r="14" spans="1:8" s="52" customFormat="1" x14ac:dyDescent="0.4">
      <c r="A14" s="49" t="s">
        <v>135</v>
      </c>
      <c r="B14" s="49" t="s">
        <v>450</v>
      </c>
      <c r="C14" s="49" t="s">
        <v>7</v>
      </c>
      <c r="D14" s="58">
        <f>1.5*(1/8)*60*60/1000</f>
        <v>0.67500000000000004</v>
      </c>
      <c r="E14" s="54" t="s">
        <v>216</v>
      </c>
      <c r="F14" s="50" t="s">
        <v>231</v>
      </c>
      <c r="G14" s="26"/>
      <c r="H14" s="51"/>
    </row>
    <row r="15" spans="1:8" s="52" customFormat="1" x14ac:dyDescent="0.4">
      <c r="A15" s="49" t="s">
        <v>135</v>
      </c>
      <c r="B15" s="49" t="s">
        <v>450</v>
      </c>
      <c r="C15" s="49" t="s">
        <v>143</v>
      </c>
      <c r="D15" s="58">
        <f>1.5*(1/8)*60*60/1000</f>
        <v>0.67500000000000004</v>
      </c>
      <c r="E15" s="54" t="s">
        <v>216</v>
      </c>
      <c r="F15" s="50" t="s">
        <v>229</v>
      </c>
      <c r="G15" s="26" t="s">
        <v>145</v>
      </c>
      <c r="H15" s="51"/>
    </row>
    <row r="16" spans="1:8" s="52" customFormat="1" x14ac:dyDescent="0.4">
      <c r="A16" s="49" t="s">
        <v>135</v>
      </c>
      <c r="B16" s="49" t="s">
        <v>450</v>
      </c>
      <c r="C16" s="49" t="s">
        <v>129</v>
      </c>
      <c r="D16" s="58">
        <v>0.45</v>
      </c>
      <c r="E16" s="54" t="s">
        <v>216</v>
      </c>
      <c r="F16" s="50" t="s">
        <v>458</v>
      </c>
      <c r="G16" s="26" t="s">
        <v>459</v>
      </c>
      <c r="H16" s="51"/>
    </row>
    <row r="17" spans="1:8" s="52" customFormat="1" x14ac:dyDescent="0.4">
      <c r="A17" s="49" t="s">
        <v>135</v>
      </c>
      <c r="B17" s="49" t="s">
        <v>244</v>
      </c>
      <c r="C17" s="49" t="s">
        <v>125</v>
      </c>
      <c r="D17" s="30">
        <f>AVERAGE(1500,4000)*(1/1000)*(1/8)*60*60/1000</f>
        <v>1.2375</v>
      </c>
      <c r="E17" s="54" t="s">
        <v>216</v>
      </c>
      <c r="F17" s="50" t="s">
        <v>226</v>
      </c>
      <c r="G17" s="26" t="s">
        <v>141</v>
      </c>
      <c r="H17" s="51"/>
    </row>
    <row r="18" spans="1:8" s="52" customFormat="1" x14ac:dyDescent="0.4">
      <c r="A18" s="49" t="s">
        <v>135</v>
      </c>
      <c r="B18" s="49" t="s">
        <v>244</v>
      </c>
      <c r="C18" s="49" t="s">
        <v>6</v>
      </c>
      <c r="D18" s="30">
        <v>1</v>
      </c>
      <c r="E18" s="54" t="s">
        <v>216</v>
      </c>
      <c r="F18" s="50" t="s">
        <v>228</v>
      </c>
      <c r="G18" s="26" t="s">
        <v>137</v>
      </c>
      <c r="H18" s="51"/>
    </row>
    <row r="19" spans="1:8" s="52" customFormat="1" x14ac:dyDescent="0.4">
      <c r="A19" s="49" t="s">
        <v>135</v>
      </c>
      <c r="B19" s="49" t="s">
        <v>244</v>
      </c>
      <c r="C19" s="49" t="s">
        <v>7</v>
      </c>
      <c r="D19" s="30">
        <f>3*(1/8)*60*60/1000</f>
        <v>1.35</v>
      </c>
      <c r="E19" s="54" t="s">
        <v>216</v>
      </c>
      <c r="F19" s="50" t="s">
        <v>231</v>
      </c>
      <c r="G19" s="49"/>
      <c r="H19" s="51"/>
    </row>
    <row r="20" spans="1:8" x14ac:dyDescent="0.4">
      <c r="A20" s="49" t="s">
        <v>135</v>
      </c>
      <c r="B20" s="49" t="s">
        <v>244</v>
      </c>
      <c r="C20" s="49" t="s">
        <v>143</v>
      </c>
      <c r="D20" s="30">
        <f>2.5*(1/8)*60*60/1000</f>
        <v>1.125</v>
      </c>
      <c r="E20" s="54" t="s">
        <v>216</v>
      </c>
      <c r="F20" s="50" t="s">
        <v>229</v>
      </c>
      <c r="G20" s="26" t="s">
        <v>145</v>
      </c>
    </row>
    <row r="21" spans="1:8" x14ac:dyDescent="0.4">
      <c r="A21" s="49" t="s">
        <v>135</v>
      </c>
      <c r="B21" s="49" t="s">
        <v>244</v>
      </c>
      <c r="C21" s="63" t="s">
        <v>149</v>
      </c>
      <c r="D21" s="30">
        <f>AVERAGE(3000,4500)*(1/1000)*(1/8)*60*60/1000</f>
        <v>1.6875</v>
      </c>
      <c r="E21" s="54" t="s">
        <v>216</v>
      </c>
      <c r="F21" s="50" t="s">
        <v>232</v>
      </c>
      <c r="G21" s="26"/>
    </row>
    <row r="22" spans="1:8" s="52" customFormat="1" x14ac:dyDescent="0.4">
      <c r="A22" s="49" t="s">
        <v>135</v>
      </c>
      <c r="B22" s="49" t="s">
        <v>244</v>
      </c>
      <c r="C22" s="49" t="s">
        <v>129</v>
      </c>
      <c r="D22" s="58">
        <v>1.2</v>
      </c>
      <c r="E22" s="54" t="s">
        <v>216</v>
      </c>
      <c r="F22" s="50" t="s">
        <v>458</v>
      </c>
      <c r="G22" s="26" t="s">
        <v>459</v>
      </c>
      <c r="H22" s="51"/>
    </row>
    <row r="23" spans="1:8" x14ac:dyDescent="0.4">
      <c r="A23" s="49" t="s">
        <v>135</v>
      </c>
      <c r="B23" s="49" t="s">
        <v>275</v>
      </c>
      <c r="C23" s="49" t="s">
        <v>125</v>
      </c>
      <c r="D23" s="30">
        <f>AVERAGE(3000,6000)*(1/1000)*(1/8)*60*60/1000</f>
        <v>2.0249999999999999</v>
      </c>
      <c r="E23" s="54" t="s">
        <v>216</v>
      </c>
      <c r="F23" s="50" t="s">
        <v>226</v>
      </c>
      <c r="G23" s="26" t="s">
        <v>141</v>
      </c>
    </row>
    <row r="24" spans="1:8" x14ac:dyDescent="0.4">
      <c r="A24" s="49" t="s">
        <v>135</v>
      </c>
      <c r="B24" s="49" t="s">
        <v>275</v>
      </c>
      <c r="C24" s="49" t="s">
        <v>6</v>
      </c>
      <c r="D24" s="30">
        <v>3</v>
      </c>
      <c r="E24" s="54" t="s">
        <v>216</v>
      </c>
      <c r="F24" s="50" t="s">
        <v>228</v>
      </c>
      <c r="G24" s="26" t="s">
        <v>137</v>
      </c>
    </row>
    <row r="25" spans="1:8" x14ac:dyDescent="0.4">
      <c r="A25" s="49" t="s">
        <v>135</v>
      </c>
      <c r="B25" s="49" t="s">
        <v>275</v>
      </c>
      <c r="C25" s="49" t="s">
        <v>140</v>
      </c>
      <c r="D25" s="30">
        <v>2</v>
      </c>
      <c r="E25" s="54" t="s">
        <v>216</v>
      </c>
      <c r="F25" s="50" t="s">
        <v>225</v>
      </c>
      <c r="G25" s="26"/>
    </row>
    <row r="26" spans="1:8" x14ac:dyDescent="0.4">
      <c r="A26" s="49" t="s">
        <v>135</v>
      </c>
      <c r="B26" s="49" t="s">
        <v>275</v>
      </c>
      <c r="C26" s="49" t="s">
        <v>167</v>
      </c>
      <c r="D26" s="30">
        <v>2</v>
      </c>
      <c r="E26" s="54" t="s">
        <v>216</v>
      </c>
      <c r="F26" s="50" t="s">
        <v>230</v>
      </c>
      <c r="G26" s="26" t="s">
        <v>169</v>
      </c>
    </row>
    <row r="27" spans="1:8" x14ac:dyDescent="0.4">
      <c r="A27" s="49" t="s">
        <v>135</v>
      </c>
      <c r="B27" s="49" t="s">
        <v>275</v>
      </c>
      <c r="C27" s="49" t="s">
        <v>7</v>
      </c>
      <c r="D27" s="30">
        <f>6*(1/8)*60*60/1000</f>
        <v>2.7</v>
      </c>
      <c r="E27" s="54" t="s">
        <v>216</v>
      </c>
      <c r="F27" s="50" t="s">
        <v>231</v>
      </c>
      <c r="G27" s="26"/>
    </row>
    <row r="28" spans="1:8" x14ac:dyDescent="0.4">
      <c r="A28" s="49" t="s">
        <v>135</v>
      </c>
      <c r="B28" s="49" t="s">
        <v>275</v>
      </c>
      <c r="C28" s="49" t="s">
        <v>143</v>
      </c>
      <c r="D28" s="30">
        <f>7*(1/8)*60*60/1000</f>
        <v>3.15</v>
      </c>
      <c r="E28" s="54" t="s">
        <v>216</v>
      </c>
      <c r="F28" s="50" t="s">
        <v>229</v>
      </c>
      <c r="G28" s="26" t="s">
        <v>145</v>
      </c>
    </row>
    <row r="29" spans="1:8" x14ac:dyDescent="0.4">
      <c r="A29" s="49" t="s">
        <v>135</v>
      </c>
      <c r="B29" s="49" t="s">
        <v>275</v>
      </c>
      <c r="C29" s="63" t="s">
        <v>149</v>
      </c>
      <c r="D29" s="30">
        <f>6000*(1/1000)*(1/8)*60*60/1000</f>
        <v>2.7</v>
      </c>
      <c r="E29" s="54" t="s">
        <v>216</v>
      </c>
      <c r="F29" s="50" t="s">
        <v>232</v>
      </c>
      <c r="G29" s="26"/>
    </row>
    <row r="30" spans="1:8" s="52" customFormat="1" x14ac:dyDescent="0.4">
      <c r="A30" s="49" t="s">
        <v>135</v>
      </c>
      <c r="B30" s="49" t="s">
        <v>275</v>
      </c>
      <c r="C30" s="49" t="s">
        <v>129</v>
      </c>
      <c r="D30" s="58">
        <v>1.8</v>
      </c>
      <c r="E30" s="54" t="s">
        <v>216</v>
      </c>
      <c r="F30" s="50" t="s">
        <v>458</v>
      </c>
      <c r="G30" s="26" t="s">
        <v>459</v>
      </c>
      <c r="H30" s="51"/>
    </row>
    <row r="31" spans="1:8" x14ac:dyDescent="0.4">
      <c r="A31" s="49" t="s">
        <v>135</v>
      </c>
      <c r="B31" s="49" t="s">
        <v>613</v>
      </c>
      <c r="C31" s="49" t="s">
        <v>125</v>
      </c>
      <c r="D31" s="30">
        <f>AVERAGE(1300,34000)*(1/1000)*(1/8)*60*60/1000</f>
        <v>7.9425000000000017</v>
      </c>
      <c r="E31" s="54" t="s">
        <v>216</v>
      </c>
      <c r="F31" s="50" t="s">
        <v>226</v>
      </c>
      <c r="G31" s="26" t="s">
        <v>141</v>
      </c>
    </row>
    <row r="32" spans="1:8" x14ac:dyDescent="0.4">
      <c r="A32" s="49" t="s">
        <v>135</v>
      </c>
      <c r="B32" s="49" t="s">
        <v>613</v>
      </c>
      <c r="C32" s="49" t="s">
        <v>6</v>
      </c>
      <c r="D32" s="30">
        <v>7</v>
      </c>
      <c r="E32" s="54" t="s">
        <v>216</v>
      </c>
      <c r="F32" s="50" t="s">
        <v>228</v>
      </c>
      <c r="G32" s="26" t="s">
        <v>137</v>
      </c>
    </row>
    <row r="33" spans="1:7" x14ac:dyDescent="0.4">
      <c r="A33" s="49" t="s">
        <v>135</v>
      </c>
      <c r="B33" s="49" t="s">
        <v>613</v>
      </c>
      <c r="C33" s="49" t="s">
        <v>140</v>
      </c>
      <c r="D33" s="30">
        <v>6</v>
      </c>
      <c r="E33" s="54" t="s">
        <v>216</v>
      </c>
      <c r="F33" s="50" t="s">
        <v>225</v>
      </c>
      <c r="G33" s="26"/>
    </row>
    <row r="34" spans="1:7" x14ac:dyDescent="0.4">
      <c r="A34" s="49" t="s">
        <v>135</v>
      </c>
      <c r="B34" s="49" t="s">
        <v>613</v>
      </c>
      <c r="C34" s="49" t="s">
        <v>167</v>
      </c>
      <c r="D34" s="30">
        <v>7.7</v>
      </c>
      <c r="E34" s="54" t="s">
        <v>216</v>
      </c>
      <c r="F34" s="50" t="s">
        <v>230</v>
      </c>
      <c r="G34" s="26" t="s">
        <v>169</v>
      </c>
    </row>
    <row r="35" spans="1:7" x14ac:dyDescent="0.4">
      <c r="A35" s="49" t="s">
        <v>135</v>
      </c>
      <c r="B35" s="49" t="s">
        <v>613</v>
      </c>
      <c r="C35" s="49" t="s">
        <v>7</v>
      </c>
      <c r="D35" s="30">
        <f>16*(1/8)*60*60/1000</f>
        <v>7.2</v>
      </c>
      <c r="E35" s="54" t="s">
        <v>216</v>
      </c>
      <c r="F35" s="50" t="s">
        <v>231</v>
      </c>
      <c r="G35" s="26"/>
    </row>
    <row r="36" spans="1:7" x14ac:dyDescent="0.4">
      <c r="A36" s="49" t="s">
        <v>135</v>
      </c>
      <c r="B36" s="49" t="s">
        <v>613</v>
      </c>
      <c r="C36" s="49" t="s">
        <v>143</v>
      </c>
      <c r="D36" s="30">
        <f>22*(1/8)*60*60/1000</f>
        <v>9.9</v>
      </c>
      <c r="E36" s="54" t="s">
        <v>216</v>
      </c>
      <c r="F36" s="50" t="s">
        <v>229</v>
      </c>
      <c r="G36" s="26" t="s">
        <v>145</v>
      </c>
    </row>
    <row r="37" spans="1:7" x14ac:dyDescent="0.4">
      <c r="A37" s="49" t="s">
        <v>174</v>
      </c>
      <c r="B37" s="49" t="s">
        <v>127</v>
      </c>
      <c r="C37" s="49" t="s">
        <v>8</v>
      </c>
      <c r="D37" s="30">
        <f>24*(1/1000)*(1/8)*60*60/1000</f>
        <v>1.0799999999999999E-2</v>
      </c>
      <c r="E37" s="54" t="s">
        <v>216</v>
      </c>
      <c r="F37" s="50" t="s">
        <v>233</v>
      </c>
      <c r="G37" s="26" t="s">
        <v>187</v>
      </c>
    </row>
    <row r="38" spans="1:7" x14ac:dyDescent="0.4">
      <c r="A38" s="49" t="s">
        <v>174</v>
      </c>
      <c r="B38" s="49" t="s">
        <v>127</v>
      </c>
      <c r="C38" s="49" t="s">
        <v>178</v>
      </c>
      <c r="D38" s="30">
        <f>43/1000</f>
        <v>4.2999999999999997E-2</v>
      </c>
      <c r="E38" s="54" t="s">
        <v>216</v>
      </c>
      <c r="F38" s="50" t="s">
        <v>234</v>
      </c>
      <c r="G38" t="s">
        <v>614</v>
      </c>
    </row>
    <row r="39" spans="1:7" x14ac:dyDescent="0.4">
      <c r="A39" s="49" t="s">
        <v>174</v>
      </c>
      <c r="B39" s="49" t="s">
        <v>128</v>
      </c>
      <c r="C39" s="49" t="s">
        <v>8</v>
      </c>
      <c r="D39" s="30">
        <f>96*(1/1000)*(1/8)*60*60/1000</f>
        <v>4.3199999999999995E-2</v>
      </c>
      <c r="E39" s="54" t="s">
        <v>216</v>
      </c>
      <c r="F39" s="50" t="s">
        <v>233</v>
      </c>
      <c r="G39" s="26" t="s">
        <v>187</v>
      </c>
    </row>
    <row r="40" spans="1:7" x14ac:dyDescent="0.4">
      <c r="A40" s="49" t="s">
        <v>174</v>
      </c>
      <c r="B40" s="49" t="s">
        <v>128</v>
      </c>
      <c r="C40" s="49" t="s">
        <v>178</v>
      </c>
      <c r="D40" s="30">
        <f>72/1000</f>
        <v>7.1999999999999995E-2</v>
      </c>
      <c r="E40" s="54" t="s">
        <v>216</v>
      </c>
      <c r="F40" s="50" t="s">
        <v>234</v>
      </c>
      <c r="G40" t="s">
        <v>614</v>
      </c>
    </row>
    <row r="41" spans="1:7" x14ac:dyDescent="0.4">
      <c r="A41" s="49" t="s">
        <v>174</v>
      </c>
      <c r="B41" s="49" t="s">
        <v>136</v>
      </c>
      <c r="C41" s="49" t="s">
        <v>8</v>
      </c>
      <c r="D41" s="30">
        <f>160*(1/1000)*(1/8)*60*60/1000</f>
        <v>7.1999999999999995E-2</v>
      </c>
      <c r="E41" s="54" t="s">
        <v>216</v>
      </c>
      <c r="F41" s="50" t="s">
        <v>233</v>
      </c>
      <c r="G41" s="26" t="s">
        <v>187</v>
      </c>
    </row>
    <row r="42" spans="1:7" x14ac:dyDescent="0.4">
      <c r="A42" s="49" t="s">
        <v>174</v>
      </c>
      <c r="B42" s="49" t="s">
        <v>136</v>
      </c>
      <c r="C42" s="49" t="s">
        <v>178</v>
      </c>
      <c r="D42" s="30">
        <f>115/1000</f>
        <v>0.115</v>
      </c>
      <c r="E42" s="54" t="s">
        <v>216</v>
      </c>
      <c r="F42" s="50" t="s">
        <v>234</v>
      </c>
      <c r="G42" t="s">
        <v>614</v>
      </c>
    </row>
    <row r="43" spans="1:7" x14ac:dyDescent="0.4">
      <c r="A43" s="49" t="s">
        <v>174</v>
      </c>
      <c r="B43" s="49" t="s">
        <v>136</v>
      </c>
      <c r="C43" s="49" t="s">
        <v>8</v>
      </c>
      <c r="D43" s="30">
        <f>320*(1/1000)*(1/8)*60*60/1000</f>
        <v>0.14399999999999999</v>
      </c>
      <c r="E43" s="54" t="s">
        <v>216</v>
      </c>
      <c r="F43" s="50" t="s">
        <v>233</v>
      </c>
      <c r="G43" s="26" t="s">
        <v>615</v>
      </c>
    </row>
    <row r="44" spans="1:7" x14ac:dyDescent="0.4">
      <c r="A44" s="49" t="s">
        <v>174</v>
      </c>
      <c r="B44" s="49" t="s">
        <v>136</v>
      </c>
      <c r="C44" s="49" t="s">
        <v>175</v>
      </c>
      <c r="D44" s="30">
        <f>256*(1/1000)*(1/8)*60*60/1000</f>
        <v>0.11519999999999998</v>
      </c>
      <c r="E44" s="54" t="s">
        <v>216</v>
      </c>
      <c r="F44" s="50" t="s">
        <v>235</v>
      </c>
      <c r="G44" s="26" t="s">
        <v>184</v>
      </c>
    </row>
    <row r="45" spans="1:7" x14ac:dyDescent="0.4">
      <c r="A45" s="49" t="s">
        <v>174</v>
      </c>
      <c r="B45" s="49" t="s">
        <v>136</v>
      </c>
      <c r="C45" s="49" t="s">
        <v>176</v>
      </c>
      <c r="D45" s="30">
        <f>256*(1/1000)*(1/8)*60*60/1000</f>
        <v>0.11519999999999998</v>
      </c>
      <c r="E45" s="54" t="s">
        <v>216</v>
      </c>
      <c r="F45" s="50" t="s">
        <v>236</v>
      </c>
      <c r="G45" s="26" t="s">
        <v>616</v>
      </c>
    </row>
    <row r="46" spans="1:7" x14ac:dyDescent="0.4">
      <c r="A46" s="49" t="s">
        <v>174</v>
      </c>
      <c r="B46" s="49" t="s">
        <v>136</v>
      </c>
      <c r="C46" s="49" t="s">
        <v>177</v>
      </c>
      <c r="D46" s="30">
        <f>256*(1/1000)*(1/8)*60*60/1000</f>
        <v>0.11519999999999998</v>
      </c>
      <c r="E46" s="54" t="s">
        <v>216</v>
      </c>
      <c r="F46" s="50" t="s">
        <v>237</v>
      </c>
      <c r="G46" s="26" t="s">
        <v>184</v>
      </c>
    </row>
    <row r="47" spans="1:7" x14ac:dyDescent="0.4">
      <c r="A47" s="49" t="s">
        <v>193</v>
      </c>
      <c r="B47" s="49" t="s">
        <v>197</v>
      </c>
      <c r="C47" s="49" t="s">
        <v>10</v>
      </c>
      <c r="D47" s="30">
        <f>AVERAGE(60,80)*(1/1000)*(1/8)*60*60/1000</f>
        <v>3.15E-2</v>
      </c>
      <c r="E47" s="54" t="s">
        <v>216</v>
      </c>
      <c r="F47" s="50" t="s">
        <v>238</v>
      </c>
      <c r="G47" s="26" t="s">
        <v>194</v>
      </c>
    </row>
    <row r="48" spans="1:7" x14ac:dyDescent="0.4">
      <c r="A48" s="49" t="s">
        <v>193</v>
      </c>
      <c r="B48" s="49" t="s">
        <v>197</v>
      </c>
      <c r="C48" s="49" t="s">
        <v>196</v>
      </c>
      <c r="D48" s="30">
        <f>AVERAGE(58,76)*(1/1000)*(1/8)*60*60/1000</f>
        <v>3.0150000000000003E-2</v>
      </c>
      <c r="E48" s="54" t="s">
        <v>216</v>
      </c>
      <c r="F48" s="50" t="s">
        <v>239</v>
      </c>
      <c r="G48" s="26" t="s">
        <v>194</v>
      </c>
    </row>
    <row r="49" spans="1:7" x14ac:dyDescent="0.4">
      <c r="A49" s="49" t="s">
        <v>193</v>
      </c>
      <c r="B49" s="49" t="s">
        <v>197</v>
      </c>
      <c r="C49" s="49" t="s">
        <v>9</v>
      </c>
      <c r="D49" s="30">
        <f>100*(1/1000)*(1/8)*60*60/1000</f>
        <v>4.4999999999999998E-2</v>
      </c>
      <c r="E49" s="54" t="s">
        <v>216</v>
      </c>
      <c r="F49" s="50" t="s">
        <v>240</v>
      </c>
      <c r="G49" s="26"/>
    </row>
    <row r="50" spans="1:7" x14ac:dyDescent="0.4">
      <c r="A50" s="49" t="s">
        <v>193</v>
      </c>
      <c r="B50" s="49" t="s">
        <v>128</v>
      </c>
      <c r="C50" s="49" t="s">
        <v>10</v>
      </c>
      <c r="D50" s="30">
        <f>AVERAGE(0.6,1)*(1/8)*60*60/1000</f>
        <v>0.36</v>
      </c>
      <c r="E50" s="54" t="s">
        <v>216</v>
      </c>
      <c r="F50" s="50" t="s">
        <v>238</v>
      </c>
      <c r="G50" s="26" t="s">
        <v>194</v>
      </c>
    </row>
    <row r="51" spans="1:7" x14ac:dyDescent="0.4">
      <c r="A51" s="49" t="s">
        <v>193</v>
      </c>
      <c r="B51" s="49" t="s">
        <v>128</v>
      </c>
      <c r="C51" s="49" t="s">
        <v>10</v>
      </c>
      <c r="D51" s="30">
        <f>AVERAGE(1.2,1.8,2.6)*(1/8)*60*60/1000</f>
        <v>0.83999999999999986</v>
      </c>
      <c r="E51" s="54" t="s">
        <v>216</v>
      </c>
      <c r="F51" s="50" t="s">
        <v>238</v>
      </c>
      <c r="G51" s="26" t="s">
        <v>617</v>
      </c>
    </row>
    <row r="52" spans="1:7" x14ac:dyDescent="0.4">
      <c r="A52" s="49" t="s">
        <v>193</v>
      </c>
      <c r="B52" s="49" t="s">
        <v>136</v>
      </c>
      <c r="C52" s="49" t="s">
        <v>10</v>
      </c>
      <c r="D52" s="30">
        <f>AVERAGE(3,3.8)*(1/8)*60*60/1000</f>
        <v>1.53</v>
      </c>
      <c r="E52" s="54" t="s">
        <v>216</v>
      </c>
      <c r="F52" s="50" t="s">
        <v>238</v>
      </c>
      <c r="G52" s="26" t="s">
        <v>194</v>
      </c>
    </row>
    <row r="53" spans="1:7" x14ac:dyDescent="0.4">
      <c r="A53" s="49" t="s">
        <v>193</v>
      </c>
      <c r="B53" s="49" t="s">
        <v>136</v>
      </c>
      <c r="C53" s="49" t="s">
        <v>196</v>
      </c>
      <c r="D53" s="30">
        <f>AVERAGE(1500,4000)*(1/1000)*(1/8)*60*60/1000</f>
        <v>1.2375</v>
      </c>
      <c r="E53" s="54" t="s">
        <v>216</v>
      </c>
      <c r="F53" s="50" t="s">
        <v>239</v>
      </c>
      <c r="G53" s="26" t="s">
        <v>194</v>
      </c>
    </row>
    <row r="54" spans="1:7" x14ac:dyDescent="0.4">
      <c r="A54" s="49" t="s">
        <v>170</v>
      </c>
      <c r="B54" s="60" t="s">
        <v>129</v>
      </c>
      <c r="C54" s="49" t="s">
        <v>241</v>
      </c>
      <c r="D54" s="30">
        <f>60/1000</f>
        <v>0.06</v>
      </c>
      <c r="E54" s="54" t="s">
        <v>216</v>
      </c>
      <c r="F54" s="50" t="s">
        <v>467</v>
      </c>
      <c r="G54" s="26"/>
    </row>
    <row r="55" spans="1:7" x14ac:dyDescent="0.4">
      <c r="A55" s="49" t="s">
        <v>170</v>
      </c>
      <c r="B55" s="60" t="s">
        <v>129</v>
      </c>
      <c r="C55" s="49" t="s">
        <v>241</v>
      </c>
      <c r="D55" s="30">
        <v>0.15</v>
      </c>
      <c r="E55" s="54" t="s">
        <v>216</v>
      </c>
      <c r="F55" s="50" t="s">
        <v>466</v>
      </c>
      <c r="G55" s="26"/>
    </row>
    <row r="56" spans="1:7" x14ac:dyDescent="0.4">
      <c r="A56" s="49" t="s">
        <v>171</v>
      </c>
      <c r="B56" s="60" t="s">
        <v>129</v>
      </c>
      <c r="C56" s="49" t="s">
        <v>172</v>
      </c>
      <c r="D56" s="30">
        <f>AVERAGE(D57:D58)</f>
        <v>9.0000000000000011E-2</v>
      </c>
      <c r="E56" s="54" t="s">
        <v>216</v>
      </c>
      <c r="F56" s="50" t="s">
        <v>243</v>
      </c>
      <c r="G56" s="26"/>
    </row>
    <row r="57" spans="1:7" x14ac:dyDescent="0.4">
      <c r="A57" s="49" t="s">
        <v>171</v>
      </c>
      <c r="B57" s="60" t="s">
        <v>129</v>
      </c>
      <c r="C57" s="49" t="s">
        <v>182</v>
      </c>
      <c r="D57" s="31">
        <v>0.04</v>
      </c>
      <c r="E57" s="54" t="s">
        <v>216</v>
      </c>
      <c r="F57" s="50" t="s">
        <v>243</v>
      </c>
      <c r="G57" s="26"/>
    </row>
    <row r="58" spans="1:7" x14ac:dyDescent="0.4">
      <c r="A58" s="49" t="s">
        <v>171</v>
      </c>
      <c r="B58" s="60" t="s">
        <v>129</v>
      </c>
      <c r="C58" s="49" t="s">
        <v>183</v>
      </c>
      <c r="D58" s="31">
        <v>0.14000000000000001</v>
      </c>
      <c r="E58" s="54" t="s">
        <v>216</v>
      </c>
      <c r="F58" s="50" t="s">
        <v>243</v>
      </c>
      <c r="G58" s="26"/>
    </row>
    <row r="59" spans="1:7" x14ac:dyDescent="0.4">
      <c r="A59" s="23" t="s">
        <v>220</v>
      </c>
      <c r="B59" s="29"/>
    </row>
    <row r="60" spans="1:7" x14ac:dyDescent="0.4">
      <c r="A60" t="s">
        <v>221</v>
      </c>
      <c r="B60" s="59" t="s">
        <v>219</v>
      </c>
    </row>
    <row r="61" spans="1:7" x14ac:dyDescent="0.4">
      <c r="A61" t="s">
        <v>222</v>
      </c>
      <c r="B61" s="59" t="s">
        <v>223</v>
      </c>
    </row>
    <row r="62" spans="1:7" x14ac:dyDescent="0.4">
      <c r="A62" t="s">
        <v>224</v>
      </c>
      <c r="B62" s="59" t="s">
        <v>200</v>
      </c>
    </row>
    <row r="63" spans="1:7" x14ac:dyDescent="0.4">
      <c r="A63" t="s">
        <v>226</v>
      </c>
      <c r="B63" s="59" t="s">
        <v>227</v>
      </c>
    </row>
    <row r="64" spans="1:7" x14ac:dyDescent="0.4">
      <c r="A64" t="s">
        <v>228</v>
      </c>
      <c r="B64" s="59" t="s">
        <v>138</v>
      </c>
    </row>
    <row r="65" spans="1:2" x14ac:dyDescent="0.4">
      <c r="A65" t="s">
        <v>229</v>
      </c>
      <c r="B65" s="59" t="s">
        <v>144</v>
      </c>
    </row>
    <row r="66" spans="1:2" x14ac:dyDescent="0.4">
      <c r="A66" t="s">
        <v>225</v>
      </c>
      <c r="B66" s="59" t="s">
        <v>139</v>
      </c>
    </row>
    <row r="67" spans="1:2" x14ac:dyDescent="0.4">
      <c r="A67" t="s">
        <v>230</v>
      </c>
      <c r="B67" s="59" t="s">
        <v>168</v>
      </c>
    </row>
    <row r="68" spans="1:2" x14ac:dyDescent="0.4">
      <c r="A68" t="s">
        <v>231</v>
      </c>
      <c r="B68" s="59" t="s">
        <v>142</v>
      </c>
    </row>
    <row r="69" spans="1:2" x14ac:dyDescent="0.4">
      <c r="A69" t="s">
        <v>232</v>
      </c>
      <c r="B69" s="59" t="s">
        <v>179</v>
      </c>
    </row>
    <row r="70" spans="1:2" x14ac:dyDescent="0.4">
      <c r="A70" t="s">
        <v>233</v>
      </c>
      <c r="B70" s="2" t="s">
        <v>185</v>
      </c>
    </row>
    <row r="71" spans="1:2" x14ac:dyDescent="0.4">
      <c r="A71" t="s">
        <v>234</v>
      </c>
      <c r="B71" s="2" t="s">
        <v>186</v>
      </c>
    </row>
    <row r="72" spans="1:2" x14ac:dyDescent="0.4">
      <c r="A72" t="s">
        <v>235</v>
      </c>
      <c r="B72" s="2" t="s">
        <v>190</v>
      </c>
    </row>
    <row r="73" spans="1:2" x14ac:dyDescent="0.4">
      <c r="A73" t="s">
        <v>236</v>
      </c>
      <c r="B73" s="2" t="s">
        <v>188</v>
      </c>
    </row>
    <row r="74" spans="1:2" x14ac:dyDescent="0.4">
      <c r="A74" t="s">
        <v>237</v>
      </c>
      <c r="B74" s="2" t="s">
        <v>189</v>
      </c>
    </row>
    <row r="75" spans="1:2" x14ac:dyDescent="0.4">
      <c r="A75" t="s">
        <v>238</v>
      </c>
      <c r="B75" s="2" t="s">
        <v>195</v>
      </c>
    </row>
    <row r="76" spans="1:2" x14ac:dyDescent="0.4">
      <c r="A76" t="s">
        <v>239</v>
      </c>
      <c r="B76" s="2" t="s">
        <v>198</v>
      </c>
    </row>
    <row r="77" spans="1:2" x14ac:dyDescent="0.4">
      <c r="A77" t="s">
        <v>240</v>
      </c>
      <c r="B77" s="32" t="s">
        <v>199</v>
      </c>
    </row>
    <row r="78" spans="1:2" x14ac:dyDescent="0.4">
      <c r="A78" t="s">
        <v>242</v>
      </c>
      <c r="B78" s="2" t="s">
        <v>191</v>
      </c>
    </row>
    <row r="79" spans="1:2" x14ac:dyDescent="0.4">
      <c r="A79" t="s">
        <v>243</v>
      </c>
      <c r="B79" s="2" t="s">
        <v>173</v>
      </c>
    </row>
    <row r="80" spans="1:2" x14ac:dyDescent="0.4">
      <c r="A80" t="s">
        <v>458</v>
      </c>
      <c r="B80" s="97" t="s">
        <v>460</v>
      </c>
    </row>
    <row r="81" spans="1:2" x14ac:dyDescent="0.4">
      <c r="A81" t="s">
        <v>466</v>
      </c>
      <c r="B81" s="2" t="s">
        <v>465</v>
      </c>
    </row>
  </sheetData>
  <hyperlinks>
    <hyperlink ref="B79" r:id="rId1" xr:uid="{2540BB61-7FE0-47FE-B1B1-E229CC1BD4DB}"/>
    <hyperlink ref="B70" r:id="rId2" xr:uid="{642A7F3F-85C1-4292-B97E-5AA2CCB1A6F0}"/>
    <hyperlink ref="B71" r:id="rId3" xr:uid="{96B55898-C29E-493B-A770-825E64F71CF3}"/>
    <hyperlink ref="B74" r:id="rId4" xr:uid="{4F06D597-F9F2-449B-B4E1-566FCD028763}"/>
    <hyperlink ref="B72" r:id="rId5" location=":~:text=What%20is%20the%20quality%20of,an%20mp3%20encoded%20in%20320kbps). " xr:uid="{E22B732B-22A2-4C51-B529-9487AA7B1FFC}"/>
    <hyperlink ref="B78" r:id="rId6" xr:uid="{25B96F4A-502D-44C0-8FD7-7DB2DAEC086C}"/>
    <hyperlink ref="B75" r:id="rId7" xr:uid="{D69599D3-4B4E-4630-8F30-AA1879051597}"/>
    <hyperlink ref="B76" r:id="rId8" location=":~:text=Teams%20is%20always%20conservative%20on,and%20video%20frames%20per%20second. " xr:uid="{CDC73866-58F8-4CFC-BA8A-FE41E3DE93D0}"/>
    <hyperlink ref="B77" r:id="rId9" xr:uid="{02D70653-7400-449D-996E-8B48736208D1}"/>
    <hyperlink ref="F2" r:id="rId10" display="https://www.wirefly.com/guides/how-much-data-does-facebook-app-use" xr:uid="{2BF6A7D2-FF0D-4B9E-B6CD-7E23ACDC9B31}"/>
    <hyperlink ref="B65" r:id="rId11" location="h_01FZGYMJZM6QW6MC6PA03T9XMQ " xr:uid="{A4484008-AAAE-4112-9BD3-2BC8139891B0}"/>
    <hyperlink ref="B66" r:id="rId12" xr:uid="{8AC9772A-710B-4C99-87D0-E35074AC59C5}"/>
    <hyperlink ref="B67" r:id="rId13" xr:uid="{93B70113-7864-46B9-8369-3DD5500054CC}"/>
    <hyperlink ref="B68" r:id="rId14" xr:uid="{4A971A95-33F6-4977-930D-3ADB29D84A7F}"/>
    <hyperlink ref="B69" r:id="rId15" location=":~:text=Twitch%20specifies%20a%20maximum%20bitrate,cannot%20handle%20higher%20bitrate%20video. " xr:uid="{76792096-E07D-4F00-A90C-7F1DEA29AB07}"/>
    <hyperlink ref="B60" r:id="rId16" xr:uid="{BAF12C66-C81B-433B-8B85-FE737895C09E}"/>
    <hyperlink ref="F3" r:id="rId17" display="https://www.wirefly.com/guides/how-much-data-does-facebook-app-use" xr:uid="{895A8C4D-A4FB-4239-8550-3537FF4B7577}"/>
    <hyperlink ref="F4" r:id="rId18" display="https://www.wirefly.com/guides/how-much-data-does-facebook-app-use" xr:uid="{67A7F56F-0DFE-4EFE-8AB1-AD66A32E0119}"/>
    <hyperlink ref="B61" r:id="rId19" location=":~:text=Under%20default%20settings%2C%20Tik%20Tok,to%20360MB%20in%20an%20hour." xr:uid="{21AB2CEE-D0EA-4D3D-B41F-F7855BE7C7B9}"/>
    <hyperlink ref="B62" r:id="rId20" xr:uid="{FE5AFCB8-1358-4059-89C1-E81462CA41A3}"/>
    <hyperlink ref="B63" r:id="rId21" location="zippy=" xr:uid="{392743A8-9BDB-440F-875E-5D93566E72A5}"/>
    <hyperlink ref="B64" r:id="rId22" xr:uid="{E91C1A1B-6694-4406-A4B1-57CE254EDF25}"/>
    <hyperlink ref="B81" r:id="rId23" xr:uid="{1C26E92F-CE4B-4863-8E8C-CD89EE2EF729}"/>
  </hyperlinks>
  <pageMargins left="0.7" right="0.7" top="0.75" bottom="0.75" header="0.3" footer="0.3"/>
  <pageSetup paperSize="9" orientation="portrait" r:id="rId2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3C9D-FF20-4F7D-BB48-616E72B56F9C}">
  <dimension ref="A1:G40"/>
  <sheetViews>
    <sheetView topLeftCell="A20" workbookViewId="0">
      <selection activeCell="D38" sqref="D38"/>
    </sheetView>
  </sheetViews>
  <sheetFormatPr defaultRowHeight="14.6" x14ac:dyDescent="0.4"/>
  <cols>
    <col min="1" max="1" width="15.84375" customWidth="1"/>
    <col min="2" max="2" width="32.3046875" bestFit="1" customWidth="1"/>
    <col min="4" max="4" width="14.15234375" bestFit="1" customWidth="1"/>
    <col min="5" max="5" width="12.84375" customWidth="1"/>
    <col min="6" max="6" width="23.15234375" customWidth="1"/>
    <col min="7" max="7" width="109.53515625" customWidth="1"/>
    <col min="8" max="8" width="100.15234375" customWidth="1"/>
    <col min="9" max="9" width="12" bestFit="1" customWidth="1"/>
  </cols>
  <sheetData>
    <row r="1" spans="1:7" ht="29.15" x14ac:dyDescent="0.4">
      <c r="A1" s="166" t="s">
        <v>710</v>
      </c>
      <c r="B1" s="166" t="s">
        <v>711</v>
      </c>
      <c r="C1" s="153" t="s">
        <v>709</v>
      </c>
      <c r="D1" s="153" t="s">
        <v>744</v>
      </c>
      <c r="E1" s="124" t="s">
        <v>712</v>
      </c>
      <c r="F1" s="124" t="s">
        <v>713</v>
      </c>
      <c r="G1" s="153" t="s">
        <v>491</v>
      </c>
    </row>
    <row r="2" spans="1:7" ht="29.15" x14ac:dyDescent="0.4">
      <c r="A2" s="240" t="s">
        <v>131</v>
      </c>
      <c r="B2" s="164" t="s">
        <v>700</v>
      </c>
      <c r="C2" s="160">
        <v>2013</v>
      </c>
      <c r="D2" s="185">
        <v>4.5</v>
      </c>
      <c r="E2" s="231" t="s">
        <v>730</v>
      </c>
      <c r="F2" s="163">
        <f>D2/(ROUND((5*365)+(30*365/60),0))</f>
        <v>2.2410358565737054E-3</v>
      </c>
      <c r="G2" s="162" t="s">
        <v>747</v>
      </c>
    </row>
    <row r="3" spans="1:7" x14ac:dyDescent="0.4">
      <c r="A3" s="241"/>
      <c r="B3" s="73" t="s">
        <v>725</v>
      </c>
      <c r="C3" s="160">
        <v>2016</v>
      </c>
      <c r="D3" s="161">
        <v>3.34</v>
      </c>
      <c r="E3" s="232"/>
      <c r="F3" s="163">
        <f t="shared" ref="F3:F5" si="0">D3/(ROUND((5*365)+(30*365/60),0))</f>
        <v>1.6633466135458166E-3</v>
      </c>
      <c r="G3" s="243" t="s">
        <v>756</v>
      </c>
    </row>
    <row r="4" spans="1:7" x14ac:dyDescent="0.4">
      <c r="A4" s="241"/>
      <c r="B4" s="73" t="s">
        <v>723</v>
      </c>
      <c r="C4" s="160">
        <v>2016</v>
      </c>
      <c r="D4" s="161">
        <v>2.5190000000000001</v>
      </c>
      <c r="E4" s="232"/>
      <c r="F4" s="163">
        <f t="shared" si="0"/>
        <v>1.2544820717131475E-3</v>
      </c>
      <c r="G4" s="244"/>
    </row>
    <row r="5" spans="1:7" x14ac:dyDescent="0.4">
      <c r="A5" s="241"/>
      <c r="B5" s="73" t="s">
        <v>724</v>
      </c>
      <c r="C5" s="160">
        <v>2016</v>
      </c>
      <c r="D5" s="161">
        <v>4.1609999999999996</v>
      </c>
      <c r="E5" s="232"/>
      <c r="F5" s="163">
        <f t="shared" si="0"/>
        <v>2.0722111553784857E-3</v>
      </c>
      <c r="G5" s="245"/>
    </row>
    <row r="6" spans="1:7" x14ac:dyDescent="0.4">
      <c r="A6" s="241"/>
      <c r="B6" s="164" t="s">
        <v>701</v>
      </c>
      <c r="C6" s="160" t="s">
        <v>241</v>
      </c>
      <c r="D6" s="160" t="s">
        <v>241</v>
      </c>
      <c r="E6" s="232"/>
      <c r="F6" s="165">
        <f>6/1000</f>
        <v>6.0000000000000001E-3</v>
      </c>
      <c r="G6" s="176"/>
    </row>
    <row r="7" spans="1:7" x14ac:dyDescent="0.4">
      <c r="A7" s="241"/>
      <c r="B7" s="173" t="s">
        <v>714</v>
      </c>
      <c r="C7" s="174" t="s">
        <v>241</v>
      </c>
      <c r="D7" s="160" t="s">
        <v>241</v>
      </c>
      <c r="E7" s="232"/>
      <c r="F7" s="175">
        <v>2E-3</v>
      </c>
      <c r="G7" s="174"/>
    </row>
    <row r="8" spans="1:7" x14ac:dyDescent="0.4">
      <c r="A8" s="241"/>
      <c r="B8" s="173" t="s">
        <v>715</v>
      </c>
      <c r="C8" s="174" t="s">
        <v>241</v>
      </c>
      <c r="D8" s="160" t="s">
        <v>241</v>
      </c>
      <c r="E8" s="232"/>
      <c r="F8" s="175">
        <v>6.0000000000000001E-3</v>
      </c>
      <c r="G8" s="174"/>
    </row>
    <row r="9" spans="1:7" x14ac:dyDescent="0.4">
      <c r="A9" s="241"/>
      <c r="B9" s="167" t="s">
        <v>716</v>
      </c>
      <c r="C9" s="167">
        <v>2020</v>
      </c>
      <c r="D9" s="169">
        <f>D3*(1-0.03)^(2020-2016)</f>
        <v>2.9568779853999998</v>
      </c>
      <c r="E9" s="232"/>
      <c r="F9" s="168">
        <f t="shared" ref="F9:F11" si="1">D9/(ROUND((5*365)+(30*365/60),0))</f>
        <v>1.4725487975099602E-3</v>
      </c>
      <c r="G9" s="246" t="s">
        <v>726</v>
      </c>
    </row>
    <row r="10" spans="1:7" x14ac:dyDescent="0.4">
      <c r="A10" s="241"/>
      <c r="B10" s="167" t="s">
        <v>705</v>
      </c>
      <c r="C10" s="167">
        <v>2020</v>
      </c>
      <c r="D10" s="169">
        <f t="shared" ref="D10:D11" si="2">D4*(1-0.03)^(2020-2016)</f>
        <v>2.23005258839</v>
      </c>
      <c r="E10" s="232"/>
      <c r="F10" s="168">
        <f t="shared" si="1"/>
        <v>1.1105839583615538E-3</v>
      </c>
      <c r="G10" s="247"/>
    </row>
    <row r="11" spans="1:7" x14ac:dyDescent="0.4">
      <c r="A11" s="241"/>
      <c r="B11" s="167" t="s">
        <v>706</v>
      </c>
      <c r="C11" s="167">
        <v>2020</v>
      </c>
      <c r="D11" s="169">
        <f t="shared" si="2"/>
        <v>3.6837033824099992</v>
      </c>
      <c r="E11" s="232"/>
      <c r="F11" s="168">
        <f t="shared" si="1"/>
        <v>1.8345136366583661E-3</v>
      </c>
      <c r="G11" s="247"/>
    </row>
    <row r="12" spans="1:7" x14ac:dyDescent="0.4">
      <c r="A12" s="242"/>
      <c r="B12" s="170" t="s">
        <v>721</v>
      </c>
      <c r="C12" s="171">
        <v>2050</v>
      </c>
      <c r="D12" s="186">
        <f>D3*(1-0.03)^(2050-2016)</f>
        <v>1.1857289729650515</v>
      </c>
      <c r="E12" s="233"/>
      <c r="F12" s="172">
        <f>D12/(ROUND((5*365)+(30*365/60),0))</f>
        <v>5.9050247657622089E-4</v>
      </c>
      <c r="G12" s="248"/>
    </row>
    <row r="13" spans="1:7" x14ac:dyDescent="0.4">
      <c r="A13" s="240" t="s">
        <v>133</v>
      </c>
      <c r="B13" s="73" t="s">
        <v>718</v>
      </c>
      <c r="C13" s="160">
        <v>2013</v>
      </c>
      <c r="D13" s="161">
        <v>6.1</v>
      </c>
      <c r="E13" s="231" t="s">
        <v>733</v>
      </c>
      <c r="F13" s="163">
        <f>D13/(ROUND((2*365)+(30*365/60),0))</f>
        <v>6.6812705366922232E-3</v>
      </c>
      <c r="G13" s="234" t="s">
        <v>748</v>
      </c>
    </row>
    <row r="14" spans="1:7" x14ac:dyDescent="0.4">
      <c r="A14" s="241"/>
      <c r="B14" s="73" t="s">
        <v>719</v>
      </c>
      <c r="C14" s="160">
        <v>2013</v>
      </c>
      <c r="D14" s="161">
        <v>4.2</v>
      </c>
      <c r="E14" s="232"/>
      <c r="F14" s="163">
        <f>D14/(ROUND((2*365)+(30*365/60),0))</f>
        <v>4.600219058050384E-3</v>
      </c>
      <c r="G14" s="235"/>
    </row>
    <row r="15" spans="1:7" x14ac:dyDescent="0.4">
      <c r="A15" s="241"/>
      <c r="B15" s="73" t="s">
        <v>720</v>
      </c>
      <c r="C15" s="160">
        <v>2013</v>
      </c>
      <c r="D15" s="161">
        <v>7.2</v>
      </c>
      <c r="E15" s="232"/>
      <c r="F15" s="163">
        <f>D15/(ROUND((2*365)+(30*365/60),0))</f>
        <v>7.8860898138006577E-3</v>
      </c>
      <c r="G15" s="236"/>
    </row>
    <row r="16" spans="1:7" x14ac:dyDescent="0.4">
      <c r="A16" s="241"/>
      <c r="B16" s="73" t="s">
        <v>703</v>
      </c>
      <c r="C16" s="160">
        <v>2016</v>
      </c>
      <c r="D16" s="161">
        <v>12.9</v>
      </c>
      <c r="E16" s="232"/>
      <c r="F16" s="163">
        <f>D16/(ROUND((2*365)+(30*365/60),0))</f>
        <v>1.4129244249726178E-2</v>
      </c>
      <c r="G16" s="177" t="s">
        <v>749</v>
      </c>
    </row>
    <row r="17" spans="1:7" x14ac:dyDescent="0.4">
      <c r="A17" s="241"/>
      <c r="B17" s="164" t="s">
        <v>701</v>
      </c>
      <c r="C17" s="160" t="s">
        <v>241</v>
      </c>
      <c r="D17" s="160" t="s">
        <v>241</v>
      </c>
      <c r="E17" s="232"/>
      <c r="F17" s="165">
        <f>7/1000</f>
        <v>7.0000000000000001E-3</v>
      </c>
      <c r="G17" s="178"/>
    </row>
    <row r="18" spans="1:7" x14ac:dyDescent="0.4">
      <c r="A18" s="241"/>
      <c r="B18" s="167" t="s">
        <v>716</v>
      </c>
      <c r="C18" s="167">
        <v>2020</v>
      </c>
      <c r="D18" s="169">
        <f>D13*(1-0.03)^(2020-2013)</f>
        <v>4.9286953531648923</v>
      </c>
      <c r="E18" s="232"/>
      <c r="F18" s="168">
        <f>D18/(ROUND((2*365)+(30*365/60),0))</f>
        <v>5.398351974988929E-3</v>
      </c>
      <c r="G18" s="246" t="s">
        <v>704</v>
      </c>
    </row>
    <row r="19" spans="1:7" x14ac:dyDescent="0.4">
      <c r="A19" s="241"/>
      <c r="B19" s="167" t="s">
        <v>705</v>
      </c>
      <c r="C19" s="167">
        <v>2020</v>
      </c>
      <c r="D19" s="169">
        <f t="shared" ref="D19:D20" si="3">D14*(1-0.03)^(2020-2013)</f>
        <v>3.3935279480807456</v>
      </c>
      <c r="E19" s="232"/>
      <c r="F19" s="168">
        <f t="shared" ref="F19:F21" si="4">D19/(ROUND((2*365)+(30*365/60),0))</f>
        <v>3.7168980811399187E-3</v>
      </c>
      <c r="G19" s="247"/>
    </row>
    <row r="20" spans="1:7" x14ac:dyDescent="0.4">
      <c r="A20" s="241"/>
      <c r="B20" s="167" t="s">
        <v>706</v>
      </c>
      <c r="C20" s="167">
        <v>2020</v>
      </c>
      <c r="D20" s="169">
        <f t="shared" si="3"/>
        <v>5.8174764824241354</v>
      </c>
      <c r="E20" s="232"/>
      <c r="F20" s="168">
        <f t="shared" si="4"/>
        <v>6.371825281954146E-3</v>
      </c>
      <c r="G20" s="247"/>
    </row>
    <row r="21" spans="1:7" x14ac:dyDescent="0.4">
      <c r="A21" s="242"/>
      <c r="B21" s="170" t="s">
        <v>721</v>
      </c>
      <c r="C21" s="171">
        <v>2050</v>
      </c>
      <c r="D21" s="187">
        <f>D13*(1-0.03)^(2050-2013)</f>
        <v>1.9764416753149365</v>
      </c>
      <c r="E21" s="233"/>
      <c r="F21" s="172">
        <f t="shared" si="4"/>
        <v>2.1647773004544761E-3</v>
      </c>
      <c r="G21" s="248"/>
    </row>
    <row r="22" spans="1:7" x14ac:dyDescent="0.4">
      <c r="A22" s="254" t="s">
        <v>132</v>
      </c>
      <c r="B22" s="73" t="s">
        <v>707</v>
      </c>
      <c r="C22" s="73">
        <v>2007</v>
      </c>
      <c r="D22" s="127">
        <f>AVERAGE(46,70)</f>
        <v>58</v>
      </c>
      <c r="E22" s="237" t="s">
        <v>735</v>
      </c>
      <c r="F22" s="163">
        <f>D22/(ROUND((4*365)+(0*365/60),0))</f>
        <v>3.9726027397260277E-2</v>
      </c>
      <c r="G22" s="246" t="s">
        <v>751</v>
      </c>
    </row>
    <row r="23" spans="1:7" x14ac:dyDescent="0.4">
      <c r="A23" s="255"/>
      <c r="B23" s="73" t="s">
        <v>707</v>
      </c>
      <c r="C23" s="73">
        <v>2012</v>
      </c>
      <c r="D23" s="127">
        <f>AVERAGE(39,59)</f>
        <v>49</v>
      </c>
      <c r="E23" s="238"/>
      <c r="F23" s="163">
        <f>D23/(ROUND((4*365)+(0*365/60),0))</f>
        <v>3.3561643835616439E-2</v>
      </c>
      <c r="G23" s="248"/>
    </row>
    <row r="24" spans="1:7" x14ac:dyDescent="0.4">
      <c r="A24" s="255"/>
      <c r="B24" s="73" t="s">
        <v>703</v>
      </c>
      <c r="C24" s="73">
        <v>2016</v>
      </c>
      <c r="D24" s="127">
        <v>41.8</v>
      </c>
      <c r="E24" s="238"/>
      <c r="F24" s="163">
        <f>D24/(ROUND((4*365)+(0*365/60),0))</f>
        <v>2.8630136986301367E-2</v>
      </c>
      <c r="G24" s="182" t="s">
        <v>728</v>
      </c>
    </row>
    <row r="25" spans="1:7" x14ac:dyDescent="0.4">
      <c r="A25" s="255"/>
      <c r="B25" s="73" t="s">
        <v>708</v>
      </c>
      <c r="C25" s="73">
        <v>2017</v>
      </c>
      <c r="D25" s="127">
        <v>42</v>
      </c>
      <c r="E25" s="238"/>
      <c r="F25" s="163">
        <f>D25/(ROUND((4*365)+(0*365/60),0))</f>
        <v>2.8767123287671233E-2</v>
      </c>
      <c r="G25" s="174" t="s">
        <v>757</v>
      </c>
    </row>
    <row r="26" spans="1:7" x14ac:dyDescent="0.4">
      <c r="A26" s="255"/>
      <c r="B26" s="73" t="s">
        <v>714</v>
      </c>
      <c r="C26" s="69" t="s">
        <v>241</v>
      </c>
      <c r="D26" s="69" t="s">
        <v>241</v>
      </c>
      <c r="E26" s="238"/>
      <c r="F26" s="163">
        <f>20/1000</f>
        <v>0.02</v>
      </c>
      <c r="G26" s="179"/>
    </row>
    <row r="27" spans="1:7" x14ac:dyDescent="0.4">
      <c r="A27" s="255"/>
      <c r="B27" s="73" t="s">
        <v>715</v>
      </c>
      <c r="C27" s="69" t="s">
        <v>241</v>
      </c>
      <c r="D27" s="69" t="s">
        <v>241</v>
      </c>
      <c r="E27" s="238"/>
      <c r="F27" s="163">
        <f>100/1000</f>
        <v>0.1</v>
      </c>
      <c r="G27" s="179"/>
    </row>
    <row r="28" spans="1:7" x14ac:dyDescent="0.4">
      <c r="A28" s="255"/>
      <c r="B28" s="164" t="s">
        <v>701</v>
      </c>
      <c r="C28" s="69" t="s">
        <v>241</v>
      </c>
      <c r="D28" s="69" t="s">
        <v>241</v>
      </c>
      <c r="E28" s="238"/>
      <c r="F28" s="165">
        <f>32/1000</f>
        <v>3.2000000000000001E-2</v>
      </c>
      <c r="G28" s="179"/>
    </row>
    <row r="29" spans="1:7" x14ac:dyDescent="0.4">
      <c r="A29" s="255"/>
      <c r="B29" s="183" t="s">
        <v>716</v>
      </c>
      <c r="C29" s="167">
        <v>2020</v>
      </c>
      <c r="D29" s="169">
        <f>D23*(1-0.04)^(2020-2012)</f>
        <v>35.348089370207845</v>
      </c>
      <c r="E29" s="238"/>
      <c r="F29" s="168">
        <f>D29/(ROUND((4*365)+(0*365/60),0))</f>
        <v>2.4211020116580717E-2</v>
      </c>
      <c r="G29" s="246" t="s">
        <v>729</v>
      </c>
    </row>
    <row r="30" spans="1:7" x14ac:dyDescent="0.4">
      <c r="A30" s="256"/>
      <c r="B30" s="170" t="s">
        <v>721</v>
      </c>
      <c r="C30" s="171">
        <v>2050</v>
      </c>
      <c r="D30" s="187">
        <f>D24*(1-0.04)^(2050-2012)</f>
        <v>8.8610081760116994</v>
      </c>
      <c r="E30" s="239"/>
      <c r="F30" s="172">
        <f>D30/(ROUND((4*365)+(0*365/60),0))</f>
        <v>6.0691836821997937E-3</v>
      </c>
      <c r="G30" s="248"/>
    </row>
    <row r="31" spans="1:7" ht="15" customHeight="1" x14ac:dyDescent="0.4">
      <c r="A31" s="253" t="s">
        <v>753</v>
      </c>
      <c r="B31" s="73" t="s">
        <v>707</v>
      </c>
      <c r="C31" s="73">
        <v>2007</v>
      </c>
      <c r="D31" s="73">
        <f>AVERAGE(149+70,231+70)</f>
        <v>260</v>
      </c>
      <c r="E31" s="252" t="s">
        <v>738</v>
      </c>
      <c r="F31" s="163">
        <f>D31/(ROUND((4*365)+(48*365/60),0))</f>
        <v>0.14840182648401826</v>
      </c>
      <c r="G31" s="246" t="s">
        <v>754</v>
      </c>
    </row>
    <row r="32" spans="1:7" x14ac:dyDescent="0.4">
      <c r="A32" s="253"/>
      <c r="B32" s="73" t="s">
        <v>707</v>
      </c>
      <c r="C32" s="73">
        <v>2012</v>
      </c>
      <c r="D32" s="73">
        <f>AVERAGE(137+70,213+70)</f>
        <v>245</v>
      </c>
      <c r="E32" s="252"/>
      <c r="F32" s="163">
        <f>D32/(ROUND((4*365)+(48*365/60),0))</f>
        <v>0.13984018264840184</v>
      </c>
      <c r="G32" s="248"/>
    </row>
    <row r="33" spans="1:7" x14ac:dyDescent="0.4">
      <c r="A33" s="253"/>
      <c r="B33" s="73" t="s">
        <v>708</v>
      </c>
      <c r="C33" s="73">
        <v>2017</v>
      </c>
      <c r="D33" s="73">
        <f>246+80</f>
        <v>326</v>
      </c>
      <c r="E33" s="252"/>
      <c r="F33" s="163">
        <f>D33/(ROUND((4*365)+(48*365/60),0))</f>
        <v>0.1860730593607306</v>
      </c>
      <c r="G33" s="174" t="s">
        <v>755</v>
      </c>
    </row>
    <row r="34" spans="1:7" x14ac:dyDescent="0.4">
      <c r="A34" s="253"/>
      <c r="B34" s="73" t="s">
        <v>703</v>
      </c>
      <c r="C34" s="73">
        <v>2016</v>
      </c>
      <c r="D34" s="91">
        <v>233</v>
      </c>
      <c r="E34" s="252"/>
      <c r="F34" s="163">
        <f>D34/(ROUND((4*365)+(48*365/60),0))</f>
        <v>0.13299086757990869</v>
      </c>
      <c r="G34" s="174" t="s">
        <v>728</v>
      </c>
    </row>
    <row r="35" spans="1:7" x14ac:dyDescent="0.4">
      <c r="A35" s="253"/>
      <c r="B35" s="73" t="s">
        <v>702</v>
      </c>
      <c r="C35" s="69" t="s">
        <v>241</v>
      </c>
      <c r="D35" s="69" t="s">
        <v>241</v>
      </c>
      <c r="E35" s="252"/>
      <c r="F35" s="163">
        <f>(100+30)/1000</f>
        <v>0.13</v>
      </c>
      <c r="G35" s="249" t="s">
        <v>758</v>
      </c>
    </row>
    <row r="36" spans="1:7" x14ac:dyDescent="0.4">
      <c r="A36" s="253"/>
      <c r="B36" s="73" t="s">
        <v>702</v>
      </c>
      <c r="C36" s="69" t="s">
        <v>241</v>
      </c>
      <c r="D36" s="69" t="s">
        <v>241</v>
      </c>
      <c r="E36" s="252"/>
      <c r="F36" s="163">
        <f>(60+30)/1000</f>
        <v>0.09</v>
      </c>
      <c r="G36" s="250"/>
    </row>
    <row r="37" spans="1:7" x14ac:dyDescent="0.4">
      <c r="A37" s="253"/>
      <c r="B37" s="73" t="s">
        <v>702</v>
      </c>
      <c r="C37" s="69" t="s">
        <v>241</v>
      </c>
      <c r="D37" s="69" t="s">
        <v>241</v>
      </c>
      <c r="E37" s="252"/>
      <c r="F37" s="163">
        <f>(300+30)/1000</f>
        <v>0.33</v>
      </c>
      <c r="G37" s="251"/>
    </row>
    <row r="38" spans="1:7" x14ac:dyDescent="0.4">
      <c r="A38" s="253"/>
      <c r="B38" s="183" t="s">
        <v>716</v>
      </c>
      <c r="C38" s="167">
        <v>2020</v>
      </c>
      <c r="D38" s="184">
        <f>D32*(1-0.03)^(2020-2012)</f>
        <v>192.01712306223553</v>
      </c>
      <c r="E38" s="252"/>
      <c r="F38" s="168">
        <f>D38/(ROUND((4*365)+(48*365/60),0))</f>
        <v>0.10959881453323946</v>
      </c>
      <c r="G38" s="246" t="s">
        <v>759</v>
      </c>
    </row>
    <row r="39" spans="1:7" x14ac:dyDescent="0.4">
      <c r="A39" s="253"/>
      <c r="B39" s="170" t="s">
        <v>721</v>
      </c>
      <c r="C39" s="171">
        <v>2050</v>
      </c>
      <c r="D39" s="187">
        <f>D32*(1-0.03)^(2050-2012)</f>
        <v>77.000223629277812</v>
      </c>
      <c r="E39" s="252"/>
      <c r="F39" s="172">
        <f>D39/(ROUND((4*365)+(48*365/60),0))</f>
        <v>4.394989933177957E-2</v>
      </c>
      <c r="G39" s="248"/>
    </row>
    <row r="40" spans="1:7" x14ac:dyDescent="0.4">
      <c r="E40" s="98"/>
    </row>
  </sheetData>
  <mergeCells count="17">
    <mergeCell ref="G35:G37"/>
    <mergeCell ref="G38:G39"/>
    <mergeCell ref="E31:E39"/>
    <mergeCell ref="A31:A39"/>
    <mergeCell ref="G22:G23"/>
    <mergeCell ref="A22:A30"/>
    <mergeCell ref="G29:G30"/>
    <mergeCell ref="G31:G32"/>
    <mergeCell ref="E2:E12"/>
    <mergeCell ref="E13:E21"/>
    <mergeCell ref="G13:G15"/>
    <mergeCell ref="E22:E30"/>
    <mergeCell ref="A2:A12"/>
    <mergeCell ref="A13:A21"/>
    <mergeCell ref="G3:G5"/>
    <mergeCell ref="G9:G12"/>
    <mergeCell ref="G18:G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Meta_Data</vt:lpstr>
      <vt:lpstr>Digital_Content_Consumption</vt:lpstr>
      <vt:lpstr>Devices_Use</vt:lpstr>
      <vt:lpstr>Data_Traffic</vt:lpstr>
      <vt:lpstr>Electricity_Intensity</vt:lpstr>
      <vt:lpstr>Infrastructure</vt:lpstr>
      <vt:lpstr>Regional</vt:lpstr>
      <vt:lpstr>data_traffic_dataset</vt:lpstr>
      <vt:lpstr>ei_devices_dataset</vt:lpstr>
      <vt:lpstr>ei_tv_dataset</vt:lpstr>
      <vt:lpstr>Sources</vt:lpstr>
      <vt:lpstr>Time_by_Device</vt:lpstr>
      <vt:lpstr>Internet_Users</vt:lpstr>
      <vt:lpstr>External_Costs</vt:lpstr>
      <vt:lpstr>internet_users_data</vt:lpstr>
      <vt:lpstr>pop_r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2022-12-08T15:11:45Z</dcterms:modified>
</cp:coreProperties>
</file>