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06035CA6-079C-4DFA-BF99-7C603FE999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lectricity_Data_Centers" sheetId="1" r:id="rId1"/>
    <sheet name="Water_Data_Centers" sheetId="6" r:id="rId2"/>
    <sheet name="Electricity_EndUserDevices" sheetId="2" r:id="rId3"/>
    <sheet name="Electricity_Transmission" sheetId="3" r:id="rId4"/>
    <sheet name="Cross-cheking" sheetId="4" r:id="rId5"/>
    <sheet name="Sheet4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7" i="3" s="1"/>
  <c r="J18" i="3" s="1"/>
  <c r="J19" i="3" s="1"/>
  <c r="J20" i="3" s="1"/>
  <c r="J21" i="3" s="1"/>
  <c r="J22" i="3" s="1"/>
  <c r="I16" i="3"/>
  <c r="I17" i="3" s="1"/>
  <c r="I18" i="3" s="1"/>
  <c r="I19" i="3" s="1"/>
  <c r="I20" i="3" s="1"/>
  <c r="I21" i="3" s="1"/>
  <c r="I22" i="3" s="1"/>
  <c r="H16" i="3"/>
  <c r="C2" i="6" l="1"/>
  <c r="E18" i="1"/>
  <c r="F18" i="1" s="1"/>
  <c r="E17" i="1"/>
  <c r="F17" i="1" s="1"/>
  <c r="E16" i="1"/>
  <c r="F16" i="1" s="1"/>
  <c r="E15" i="1"/>
  <c r="F15" i="1" s="1"/>
  <c r="G10" i="4" l="1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I3" i="4" s="1"/>
  <c r="H17" i="3" l="1"/>
  <c r="H18" i="3" s="1"/>
  <c r="H19" i="3" s="1"/>
  <c r="H20" i="3" s="1"/>
  <c r="H21" i="3" s="1"/>
  <c r="H22" i="3" s="1"/>
  <c r="C34" i="3"/>
  <c r="C33" i="3"/>
  <c r="C32" i="3"/>
  <c r="C31" i="3"/>
  <c r="C30" i="3"/>
  <c r="C29" i="3"/>
  <c r="C23" i="3"/>
  <c r="F6" i="2"/>
  <c r="D6" i="2" s="1"/>
  <c r="F5" i="2"/>
  <c r="D5" i="2" s="1"/>
  <c r="D4" i="2"/>
  <c r="F2" i="2"/>
  <c r="F12" i="2"/>
  <c r="F11" i="2"/>
  <c r="F10" i="2"/>
  <c r="F3" i="2"/>
  <c r="D3" i="2" s="1"/>
  <c r="F21" i="2"/>
  <c r="D21" i="2" s="1"/>
  <c r="F9" i="2"/>
  <c r="D9" i="2" s="1"/>
  <c r="F8" i="2"/>
  <c r="F7" i="2"/>
  <c r="F20" i="2"/>
  <c r="D20" i="2" s="1"/>
  <c r="F19" i="2"/>
  <c r="D19" i="2" s="1"/>
  <c r="F18" i="2"/>
  <c r="D18" i="2" s="1"/>
  <c r="F30" i="2"/>
  <c r="D30" i="2" s="1"/>
  <c r="F29" i="2"/>
  <c r="D29" i="2" s="1"/>
  <c r="F28" i="2"/>
  <c r="D28" i="2" s="1"/>
  <c r="E27" i="2"/>
  <c r="H45" i="2"/>
  <c r="I45" i="2" s="1"/>
  <c r="H44" i="2"/>
  <c r="I44" i="2" s="1"/>
  <c r="D25" i="2"/>
  <c r="F25" i="2" s="1"/>
  <c r="D24" i="2"/>
  <c r="F24" i="2" s="1"/>
  <c r="D23" i="2"/>
  <c r="F23" i="2" s="1"/>
  <c r="F26" i="2"/>
  <c r="E17" i="2"/>
  <c r="F16" i="2"/>
  <c r="F15" i="2"/>
  <c r="D14" i="2"/>
  <c r="F14" i="2" s="1"/>
  <c r="D13" i="2"/>
  <c r="H43" i="2"/>
  <c r="I43" i="2" s="1"/>
  <c r="D17" i="2" s="1"/>
  <c r="D31" i="2" l="1"/>
  <c r="F31" i="2" s="1"/>
  <c r="D22" i="2"/>
  <c r="F22" i="2" s="1"/>
  <c r="F17" i="2"/>
  <c r="F13" i="2"/>
  <c r="I46" i="2"/>
  <c r="D27" i="2" s="1"/>
  <c r="F27" i="2" s="1"/>
  <c r="D18" i="1" l="1"/>
  <c r="D17" i="1"/>
  <c r="D16" i="1"/>
  <c r="D15" i="1"/>
  <c r="C2" i="1"/>
</calcChain>
</file>

<file path=xl/sharedStrings.xml><?xml version="1.0" encoding="utf-8"?>
<sst xmlns="http://schemas.openxmlformats.org/spreadsheetml/2006/main" count="299" uniqueCount="126">
  <si>
    <t>Source</t>
  </si>
  <si>
    <t>Year</t>
  </si>
  <si>
    <t>Electricity intensity</t>
  </si>
  <si>
    <t>Units</t>
  </si>
  <si>
    <t>Assumptions</t>
  </si>
  <si>
    <t>Shehabi 2014</t>
  </si>
  <si>
    <t>kWh/GB</t>
  </si>
  <si>
    <t>Madlener 2022</t>
  </si>
  <si>
    <t>IEA 2019</t>
  </si>
  <si>
    <t>Assumptions for energy intensity of data centres, data transmission networks and devices in 2019 – Charts – Data &amp; Statistics - IEA</t>
  </si>
  <si>
    <t>Suski 2020</t>
  </si>
  <si>
    <t>Andrae 2020</t>
  </si>
  <si>
    <t>Obringer 2021</t>
  </si>
  <si>
    <t>NA</t>
  </si>
  <si>
    <t>Global electricity data center (TWh/year) [1]</t>
  </si>
  <si>
    <t>Global data center IP traffic (ZB) [2]</t>
  </si>
  <si>
    <t>Electricity intensity (kWh/GB)</t>
  </si>
  <si>
    <t>Comment</t>
  </si>
  <si>
    <t>from Andrae 2020</t>
  </si>
  <si>
    <t>https://doi.org/10.1016/j.enpol.2021.112716</t>
  </si>
  <si>
    <t>https://doi.org/10.1145/3401335.3401709</t>
  </si>
  <si>
    <t>from IEA 2019</t>
  </si>
  <si>
    <t>https://doi.org/10.1016/j.resconrec.2020.105389</t>
  </si>
  <si>
    <t>https://iopscience.iop.org/article/10.1088/1748-9326/9/5/054007</t>
  </si>
  <si>
    <t>https://pisrt.org/psr-press/journals/easl-vol-3-issue-2-2020/new-perspectives-on-internet-electricity-use-in-2030/</t>
  </si>
  <si>
    <t xml:space="preserve">[1] https://www.science.org/doi/10.1126/science.aba3758 </t>
  </si>
  <si>
    <t xml:space="preserve">[2] https://virtualization.network/Resources/Whitepapers/0b75cf2e-0c53-4891-918e-b542a5d364c5_white-paper-c11-738085.pdf </t>
  </si>
  <si>
    <t>Calculation from Massanet [1] and Cisco [2]</t>
  </si>
  <si>
    <t>Kamiya 2020</t>
  </si>
  <si>
    <t>https://www.iea.org/commentaries/the-carbon-footprint-of-streaming-video-fact-checking-the-headlines</t>
  </si>
  <si>
    <t>Desktop computer</t>
  </si>
  <si>
    <t>EI per mode (kWh/hr)</t>
  </si>
  <si>
    <t>Dataset</t>
  </si>
  <si>
    <t>Active</t>
  </si>
  <si>
    <t>Standby</t>
  </si>
  <si>
    <t>Off</t>
  </si>
  <si>
    <t>operation, computer, laptop, 23% active work</t>
  </si>
  <si>
    <t>operation, computer, desktop, with cathode ray tube display, home use</t>
  </si>
  <si>
    <t>operation, computer, desktop, with liquid crystal display, home use</t>
  </si>
  <si>
    <t>Average desktop computer</t>
  </si>
  <si>
    <t>kWh/year</t>
  </si>
  <si>
    <t>Laptop</t>
  </si>
  <si>
    <t>active hours per day</t>
  </si>
  <si>
    <t>Usage (hours per day)</t>
  </si>
  <si>
    <t>kWh/day</t>
  </si>
  <si>
    <t>Device</t>
  </si>
  <si>
    <t>kWh/active hour</t>
  </si>
  <si>
    <t>Van Heddenghem et al. (2014)</t>
  </si>
  <si>
    <t>Average of household and office laptops</t>
  </si>
  <si>
    <t>Urban et al. (2017)</t>
  </si>
  <si>
    <t>Pärssinen et al. (2018)</t>
  </si>
  <si>
    <t>Extrapolation from Van Heddenghem et al. (2014); 4% annual decrease in electricity consumption</t>
  </si>
  <si>
    <t>Ecoinvent v3.8 (Wernet et al. 2016)</t>
  </si>
  <si>
    <t>Laptop 23% active work</t>
  </si>
  <si>
    <t>This work</t>
  </si>
  <si>
    <t>Calculations from ecoinvent v3.8</t>
  </si>
  <si>
    <t>Desktop PC + LCD monitor</t>
  </si>
  <si>
    <t>Desktop PC + Average monitor</t>
  </si>
  <si>
    <t>Desktop PC + average monitor</t>
  </si>
  <si>
    <t>Extrapolation from Van Heddenghem et al. (2014) to 2020; 4 active hours per day based on Urban et al. (2017)</t>
  </si>
  <si>
    <t>Extrapolation from Van Heddenghem et al. (2014) to 2020; 4.7 active hours per day based on Urban et al. (2017)</t>
  </si>
  <si>
    <t>min</t>
  </si>
  <si>
    <t>max</t>
  </si>
  <si>
    <t>avg</t>
  </si>
  <si>
    <t>Tablet</t>
  </si>
  <si>
    <t>Urban et al. (2014)</t>
  </si>
  <si>
    <t>Suski et al. (2020)</t>
  </si>
  <si>
    <t>Energy Use Calculator (2022)</t>
  </si>
  <si>
    <t>Smartphone</t>
  </si>
  <si>
    <t>This work - avg</t>
  </si>
  <si>
    <t>This work - min</t>
  </si>
  <si>
    <t>This work - max</t>
  </si>
  <si>
    <t>Calculated assuming 2013 values from Urban et al. (2014) and an energy usage improvement of 3% per year based on Pärssinen et al. (2018)</t>
  </si>
  <si>
    <t>Access network + core network + customer premise equipment</t>
  </si>
  <si>
    <t>Shift Project</t>
  </si>
  <si>
    <t>-</t>
  </si>
  <si>
    <t>IEA 2020</t>
  </si>
  <si>
    <t>Malmodin 2014</t>
  </si>
  <si>
    <t>Access network + core network</t>
  </si>
  <si>
    <t>Coroama 2013</t>
  </si>
  <si>
    <t>Aslan 2018</t>
  </si>
  <si>
    <t>Schien 2014</t>
  </si>
  <si>
    <t>Core network; Average value from Monte Carlo</t>
  </si>
  <si>
    <t>Core network; 25th percentile from Monte Carlo</t>
  </si>
  <si>
    <t>Core network; 75th percentile from Monte Carlo</t>
  </si>
  <si>
    <t>Core network; from Schien 2014</t>
  </si>
  <si>
    <t>Access network</t>
  </si>
  <si>
    <t>From Aslan 2018</t>
  </si>
  <si>
    <t>Ruiz 2022</t>
  </si>
  <si>
    <t>Coroama 2015</t>
  </si>
  <si>
    <t>kWh</t>
  </si>
  <si>
    <t>Customer premise equipment</t>
  </si>
  <si>
    <t>Urban 2017</t>
  </si>
  <si>
    <t>EI</t>
  </si>
  <si>
    <t>Estimated from Schien 2014 assuming an annual energy efficiency improvement of 2% (Madlener 2022)</t>
  </si>
  <si>
    <t>Estimated - avg</t>
  </si>
  <si>
    <t>Estimated - min</t>
  </si>
  <si>
    <t>Estimated - max</t>
  </si>
  <si>
    <t>lifetime</t>
  </si>
  <si>
    <t>hr/day</t>
  </si>
  <si>
    <t>hr/lifetime</t>
  </si>
  <si>
    <t>EI use (kWh)</t>
  </si>
  <si>
    <t>CCI use (kg CO2 eq)</t>
  </si>
  <si>
    <t>CCI production (kg CO2 eq)</t>
  </si>
  <si>
    <t>CCI total (kg CO2 eq)</t>
  </si>
  <si>
    <t>TV 720p</t>
  </si>
  <si>
    <t>TV 1080p</t>
  </si>
  <si>
    <t>TV 2160p</t>
  </si>
  <si>
    <t>Costumer premise equipment</t>
  </si>
  <si>
    <t>Desktop PC</t>
  </si>
  <si>
    <t>*assuming 0.5 kg CO2eq/kWh</t>
  </si>
  <si>
    <t>Outbound data traffic (ZB) [2]</t>
  </si>
  <si>
    <t>Bakar Siddik 2021</t>
  </si>
  <si>
    <t>WF</t>
  </si>
  <si>
    <t>m3/kWh</t>
  </si>
  <si>
    <t>Direct water consumption by data centers per kWh of electricity consumed. Data for US in 2018</t>
  </si>
  <si>
    <t>Core network; minimum value</t>
  </si>
  <si>
    <t>Core network; mode value</t>
  </si>
  <si>
    <t>Core network; maximum value</t>
  </si>
  <si>
    <t>Schien 2015</t>
  </si>
  <si>
    <t>Schien 2013</t>
  </si>
  <si>
    <t>Core network</t>
  </si>
  <si>
    <t>Koot and Wijnhoven 2021</t>
  </si>
  <si>
    <t>Applied Energy 291 (2021) 116798</t>
  </si>
  <si>
    <t>kWh/GB to user</t>
  </si>
  <si>
    <t>Only electricity consumed by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</si>
</sst>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/>
    </xf>
    <xf numFmtId="0" fontId="2" fillId="0" borderId="2" xfId="1" applyBorder="1"/>
    <xf numFmtId="0" fontId="0" fillId="0" borderId="1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165" fontId="0" fillId="0" borderId="3" xfId="0" applyNumberFormat="1" applyBorder="1"/>
    <xf numFmtId="0" fontId="0" fillId="0" borderId="3" xfId="0" applyBorder="1"/>
    <xf numFmtId="164" fontId="0" fillId="0" borderId="3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Font="1" applyFill="1" applyBorder="1" applyAlignment="1">
      <alignment horizontal="left"/>
    </xf>
    <xf numFmtId="0" fontId="2" fillId="0" borderId="2" xfId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65" fontId="0" fillId="0" borderId="3" xfId="0" applyNumberFormat="1" applyFill="1" applyBorder="1"/>
    <xf numFmtId="0" fontId="0" fillId="0" borderId="3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165" fontId="0" fillId="3" borderId="3" xfId="0" applyNumberFormat="1" applyFill="1" applyBorder="1"/>
    <xf numFmtId="0" fontId="0" fillId="3" borderId="3" xfId="0" applyFill="1" applyBorder="1"/>
    <xf numFmtId="164" fontId="0" fillId="3" borderId="3" xfId="0" applyNumberFormat="1" applyFill="1" applyBorder="1" applyAlignment="1">
      <alignment horizontal="right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wrapText="1"/>
    </xf>
    <xf numFmtId="0" fontId="5" fillId="0" borderId="2" xfId="1" applyFont="1" applyBorder="1"/>
    <xf numFmtId="0" fontId="1" fillId="0" borderId="0" xfId="0" applyFont="1"/>
    <xf numFmtId="0" fontId="1" fillId="0" borderId="3" xfId="0" applyFont="1" applyBorder="1" applyAlignment="1">
      <alignment horizontal="right"/>
    </xf>
    <xf numFmtId="0" fontId="0" fillId="0" borderId="3" xfId="0" applyNumberFormat="1" applyBorder="1"/>
    <xf numFmtId="1" fontId="0" fillId="0" borderId="0" xfId="0" applyNumberFormat="1"/>
    <xf numFmtId="1" fontId="0" fillId="0" borderId="3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0" fillId="0" borderId="3" xfId="0" applyBorder="1" applyAlignment="1">
      <alignment vertical="top"/>
    </xf>
    <xf numFmtId="2" fontId="0" fillId="0" borderId="3" xfId="0" applyNumberFormat="1" applyBorder="1" applyAlignment="1">
      <alignment vertical="top"/>
    </xf>
    <xf numFmtId="166" fontId="0" fillId="0" borderId="3" xfId="0" applyNumberFormat="1" applyBorder="1" applyAlignment="1">
      <alignment vertical="top"/>
    </xf>
    <xf numFmtId="0" fontId="0" fillId="0" borderId="3" xfId="0" applyBorder="1" applyAlignment="1">
      <alignment horizontal="right" vertical="top"/>
    </xf>
    <xf numFmtId="1" fontId="0" fillId="0" borderId="3" xfId="0" applyNumberFormat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1" fontId="0" fillId="3" borderId="3" xfId="0" applyNumberFormat="1" applyFill="1" applyBorder="1" applyAlignment="1">
      <alignment vertical="top"/>
    </xf>
    <xf numFmtId="2" fontId="0" fillId="3" borderId="3" xfId="0" applyNumberFormat="1" applyFill="1" applyBorder="1" applyAlignment="1">
      <alignment vertical="top"/>
    </xf>
    <xf numFmtId="166" fontId="0" fillId="3" borderId="3" xfId="0" applyNumberFormat="1" applyFill="1" applyBorder="1" applyAlignment="1">
      <alignment vertical="top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" fontId="1" fillId="0" borderId="3" xfId="0" applyNumberFormat="1" applyFont="1" applyFill="1" applyBorder="1"/>
    <xf numFmtId="0" fontId="1" fillId="0" borderId="3" xfId="0" applyNumberFormat="1" applyFont="1" applyBorder="1"/>
    <xf numFmtId="165" fontId="1" fillId="0" borderId="3" xfId="0" applyNumberFormat="1" applyFont="1" applyBorder="1"/>
    <xf numFmtId="0" fontId="1" fillId="0" borderId="3" xfId="0" applyFont="1" applyFill="1" applyBorder="1"/>
    <xf numFmtId="0" fontId="1" fillId="0" borderId="3" xfId="0" applyNumberFormat="1" applyFont="1" applyFill="1" applyBorder="1"/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 wrapText="1"/>
    </xf>
    <xf numFmtId="0" fontId="0" fillId="0" borderId="3" xfId="0" applyFont="1" applyBorder="1" applyAlignment="1">
      <alignment vertical="top"/>
    </xf>
    <xf numFmtId="166" fontId="0" fillId="0" borderId="3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65" fontId="0" fillId="3" borderId="3" xfId="0" applyNumberFormat="1" applyFill="1" applyBorder="1" applyAlignment="1">
      <alignment vertical="top"/>
    </xf>
    <xf numFmtId="2" fontId="0" fillId="0" borderId="3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left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wrapText="1"/>
    </xf>
    <xf numFmtId="0" fontId="0" fillId="0" borderId="8" xfId="0" applyFont="1" applyFill="1" applyBorder="1" applyAlignment="1">
      <alignment horizontal="right" wrapText="1"/>
    </xf>
    <xf numFmtId="0" fontId="0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/>
    </xf>
    <xf numFmtId="0" fontId="0" fillId="0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wrapText="1"/>
    </xf>
    <xf numFmtId="0" fontId="0" fillId="0" borderId="9" xfId="0" applyFont="1" applyFill="1" applyBorder="1" applyAlignment="1">
      <alignment horizontal="right" wrapText="1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right" vertical="center"/>
    </xf>
    <xf numFmtId="164" fontId="0" fillId="0" borderId="2" xfId="0" applyNumberFormat="1" applyFont="1" applyFill="1" applyBorder="1" applyAlignment="1">
      <alignment horizontal="right" wrapText="1"/>
    </xf>
    <xf numFmtId="0" fontId="0" fillId="0" borderId="2" xfId="0" applyFont="1" applyFill="1" applyBorder="1" applyAlignment="1">
      <alignment horizontal="right" wrapText="1"/>
    </xf>
    <xf numFmtId="164" fontId="0" fillId="0" borderId="8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0" xfId="0" applyAlignment="1"/>
    <xf numFmtId="0" fontId="0" fillId="0" borderId="3" xfId="0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2" fontId="0" fillId="0" borderId="3" xfId="0" applyNumberFormat="1" applyBorder="1"/>
    <xf numFmtId="1" fontId="0" fillId="0" borderId="3" xfId="0" applyNumberForma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2" fontId="1" fillId="0" borderId="3" xfId="0" applyNumberFormat="1" applyFont="1" applyBorder="1"/>
    <xf numFmtId="164" fontId="0" fillId="0" borderId="3" xfId="0" applyNumberFormat="1" applyBorder="1"/>
    <xf numFmtId="164" fontId="7" fillId="0" borderId="3" xfId="0" applyNumberFormat="1" applyFont="1" applyBorder="1"/>
    <xf numFmtId="0" fontId="8" fillId="0" borderId="0" xfId="0" applyFont="1"/>
    <xf numFmtId="2" fontId="0" fillId="0" borderId="3" xfId="0" applyNumberFormat="1" applyFill="1" applyBorder="1" applyAlignment="1">
      <alignment horizontal="right"/>
    </xf>
    <xf numFmtId="2" fontId="0" fillId="4" borderId="3" xfId="0" applyNumberFormat="1" applyFill="1" applyBorder="1"/>
    <xf numFmtId="164" fontId="0" fillId="4" borderId="3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67" fontId="0" fillId="0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5" borderId="0" xfId="0" applyFill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ea.org/commentaries/the-carbon-footprint-of-streaming-video-fact-checking-the-headlines" TargetMode="External"/><Relationship Id="rId3" Type="http://schemas.openxmlformats.org/officeDocument/2006/relationships/hyperlink" Target="https://doi.org/10.1145/3401335.3401709" TargetMode="External"/><Relationship Id="rId7" Type="http://schemas.openxmlformats.org/officeDocument/2006/relationships/hyperlink" Target="https://pisrt.org/psr-press/journals/easl-vol-3-issue-2-2020/new-perspectives-on-internet-electricity-use-in-2030/" TargetMode="External"/><Relationship Id="rId2" Type="http://schemas.openxmlformats.org/officeDocument/2006/relationships/hyperlink" Target="https://doi.org/10.1016/j.enpol.2021.112716" TargetMode="External"/><Relationship Id="rId1" Type="http://schemas.openxmlformats.org/officeDocument/2006/relationships/hyperlink" Target="https://www.iea.org/data-and-statistics/charts/assumptions-for-energy-intensity-of-data-centres-data-transmission-networks-and-devices-in-2019" TargetMode="External"/><Relationship Id="rId6" Type="http://schemas.openxmlformats.org/officeDocument/2006/relationships/hyperlink" Target="https://pisrt.org/psr-press/journals/easl-vol-3-issue-2-2020/new-perspectives-on-internet-electricity-use-in-2030/" TargetMode="External"/><Relationship Id="rId5" Type="http://schemas.openxmlformats.org/officeDocument/2006/relationships/hyperlink" Target="https://iopscience.iop.org/article/10.1088/1748-9326/9/5/054007" TargetMode="External"/><Relationship Id="rId4" Type="http://schemas.openxmlformats.org/officeDocument/2006/relationships/hyperlink" Target="https://doi.org/10.1016/j.resconrec.2020.1053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workbookViewId="0">
      <selection activeCell="F33" sqref="F33"/>
    </sheetView>
  </sheetViews>
  <sheetFormatPr defaultRowHeight="15" x14ac:dyDescent="0.25"/>
  <cols>
    <col min="1" max="1" width="20.5703125" customWidth="1"/>
    <col min="2" max="2" width="14.140625" customWidth="1"/>
    <col min="3" max="3" width="17.140625" bestFit="1" customWidth="1"/>
    <col min="4" max="4" width="10.7109375" customWidth="1"/>
    <col min="5" max="5" width="20" customWidth="1"/>
    <col min="6" max="6" width="21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0</v>
      </c>
      <c r="F1" s="3" t="s">
        <v>17</v>
      </c>
    </row>
    <row r="2" spans="1:6" x14ac:dyDescent="0.25">
      <c r="A2" s="4" t="s">
        <v>5</v>
      </c>
      <c r="B2" s="4">
        <v>2014</v>
      </c>
      <c r="C2" s="5">
        <f>1.1/1000</f>
        <v>1.1000000000000001E-3</v>
      </c>
      <c r="D2" s="6" t="s">
        <v>6</v>
      </c>
      <c r="E2" s="8" t="s">
        <v>23</v>
      </c>
      <c r="F2" s="21" t="s">
        <v>125</v>
      </c>
    </row>
    <row r="3" spans="1:6" x14ac:dyDescent="0.25">
      <c r="A3" s="4" t="s">
        <v>122</v>
      </c>
      <c r="B3" s="9">
        <v>2016</v>
      </c>
      <c r="C3" s="5">
        <v>0.06</v>
      </c>
      <c r="D3" s="6" t="s">
        <v>6</v>
      </c>
      <c r="E3" s="7" t="s">
        <v>123</v>
      </c>
      <c r="F3" s="21" t="s">
        <v>124</v>
      </c>
    </row>
    <row r="4" spans="1:6" x14ac:dyDescent="0.25">
      <c r="A4" s="32" t="s">
        <v>8</v>
      </c>
      <c r="B4" s="32">
        <v>2019</v>
      </c>
      <c r="C4" s="33">
        <v>2E-3</v>
      </c>
      <c r="D4" s="33" t="s">
        <v>6</v>
      </c>
      <c r="E4" s="34" t="s">
        <v>9</v>
      </c>
      <c r="F4" s="21"/>
    </row>
    <row r="5" spans="1:6" x14ac:dyDescent="0.25">
      <c r="A5" s="4" t="s">
        <v>7</v>
      </c>
      <c r="B5" s="4">
        <v>2020</v>
      </c>
      <c r="C5" s="6">
        <v>1.4999999999999999E-2</v>
      </c>
      <c r="D5" s="6" t="s">
        <v>6</v>
      </c>
      <c r="E5" s="23" t="s">
        <v>19</v>
      </c>
      <c r="F5" s="21" t="s">
        <v>18</v>
      </c>
    </row>
    <row r="6" spans="1:6" x14ac:dyDescent="0.25">
      <c r="A6" s="4" t="s">
        <v>10</v>
      </c>
      <c r="B6" s="4">
        <v>2020</v>
      </c>
      <c r="C6" s="6">
        <v>1.4999999999999999E-2</v>
      </c>
      <c r="D6" s="6" t="s">
        <v>6</v>
      </c>
      <c r="E6" s="24" t="s">
        <v>20</v>
      </c>
      <c r="F6" s="21" t="s">
        <v>18</v>
      </c>
    </row>
    <row r="7" spans="1:6" x14ac:dyDescent="0.25">
      <c r="A7" s="4" t="s">
        <v>11</v>
      </c>
      <c r="B7" s="4">
        <v>2020</v>
      </c>
      <c r="C7" s="6">
        <v>1.4999999999999999E-2</v>
      </c>
      <c r="D7" s="6" t="s">
        <v>6</v>
      </c>
      <c r="E7" s="24" t="s">
        <v>24</v>
      </c>
      <c r="F7" s="21"/>
    </row>
    <row r="8" spans="1:6" x14ac:dyDescent="0.25">
      <c r="A8" s="4" t="s">
        <v>11</v>
      </c>
      <c r="B8" s="4">
        <v>2030</v>
      </c>
      <c r="C8" s="6">
        <v>4.0000000000000001E-3</v>
      </c>
      <c r="D8" s="6" t="s">
        <v>6</v>
      </c>
      <c r="E8" s="24" t="s">
        <v>24</v>
      </c>
      <c r="F8" s="21"/>
    </row>
    <row r="9" spans="1:6" x14ac:dyDescent="0.25">
      <c r="A9" s="4" t="s">
        <v>28</v>
      </c>
      <c r="B9" s="9" t="s">
        <v>13</v>
      </c>
      <c r="C9" s="5">
        <v>0.01</v>
      </c>
      <c r="D9" s="6" t="s">
        <v>6</v>
      </c>
      <c r="E9" s="24" t="s">
        <v>29</v>
      </c>
      <c r="F9" s="21"/>
    </row>
    <row r="10" spans="1:6" x14ac:dyDescent="0.25">
      <c r="A10" s="4" t="s">
        <v>12</v>
      </c>
      <c r="B10" s="9" t="s">
        <v>13</v>
      </c>
      <c r="C10" s="5">
        <v>0.01</v>
      </c>
      <c r="D10" s="6" t="s">
        <v>6</v>
      </c>
      <c r="E10" s="24" t="s">
        <v>22</v>
      </c>
      <c r="F10" s="21" t="s">
        <v>21</v>
      </c>
    </row>
    <row r="13" spans="1:6" ht="18.75" x14ac:dyDescent="0.3">
      <c r="A13" s="10" t="s">
        <v>27</v>
      </c>
      <c r="C13" s="11"/>
      <c r="D13" s="11"/>
    </row>
    <row r="14" spans="1:6" ht="75" x14ac:dyDescent="0.25">
      <c r="A14" s="12"/>
      <c r="B14" s="13" t="s">
        <v>14</v>
      </c>
      <c r="C14" s="14" t="s">
        <v>15</v>
      </c>
      <c r="D14" s="15" t="s">
        <v>16</v>
      </c>
      <c r="E14" s="14" t="s">
        <v>111</v>
      </c>
      <c r="F14" s="15" t="s">
        <v>16</v>
      </c>
    </row>
    <row r="15" spans="1:6" x14ac:dyDescent="0.25">
      <c r="A15" s="25">
        <v>2018</v>
      </c>
      <c r="B15" s="26">
        <v>205.21903263254748</v>
      </c>
      <c r="C15" s="27">
        <v>11.6</v>
      </c>
      <c r="D15" s="19">
        <f t="shared" ref="D15:D18" si="0">B15/C15/1000</f>
        <v>1.7691295916598921E-2</v>
      </c>
      <c r="E15" s="107">
        <f>1.609+1.347</f>
        <v>2.956</v>
      </c>
      <c r="F15" s="19">
        <f>B15/E15/1000</f>
        <v>6.9424571255936235E-2</v>
      </c>
    </row>
    <row r="16" spans="1:6" x14ac:dyDescent="0.25">
      <c r="A16" s="16">
        <v>2019</v>
      </c>
      <c r="B16" s="17">
        <v>199.32943231857078</v>
      </c>
      <c r="C16" s="18">
        <v>14.1</v>
      </c>
      <c r="D16" s="19">
        <f t="shared" si="0"/>
        <v>1.4136839171529842E-2</v>
      </c>
      <c r="E16" s="99">
        <f>2.017+1.746</f>
        <v>3.7629999999999999</v>
      </c>
      <c r="F16" s="19">
        <f t="shared" ref="F16:F18" si="1">B16/E16/1000</f>
        <v>5.2970882890930319E-2</v>
      </c>
    </row>
    <row r="17" spans="1:6" x14ac:dyDescent="0.25">
      <c r="A17" s="28">
        <v>2020</v>
      </c>
      <c r="B17" s="29">
        <v>196.22286720979304</v>
      </c>
      <c r="C17" s="30">
        <v>17.100000000000001</v>
      </c>
      <c r="D17" s="31">
        <f t="shared" si="0"/>
        <v>1.1475021474256901E-2</v>
      </c>
      <c r="E17" s="108">
        <f>2.5+2.245</f>
        <v>4.7450000000000001</v>
      </c>
      <c r="F17" s="109">
        <f t="shared" si="1"/>
        <v>4.1353607420398952E-2</v>
      </c>
    </row>
    <row r="18" spans="1:6" x14ac:dyDescent="0.25">
      <c r="A18" s="16">
        <v>2021</v>
      </c>
      <c r="B18" s="17">
        <v>194.98237638198611</v>
      </c>
      <c r="C18" s="18">
        <v>20.6</v>
      </c>
      <c r="D18" s="19">
        <f t="shared" si="0"/>
        <v>9.4651639020381598E-3</v>
      </c>
      <c r="E18" s="18">
        <f>3.064+2.796</f>
        <v>5.8599999999999994</v>
      </c>
      <c r="F18" s="19">
        <f t="shared" si="1"/>
        <v>3.3273443068598321E-2</v>
      </c>
    </row>
    <row r="19" spans="1:6" x14ac:dyDescent="0.25">
      <c r="A19" s="16">
        <v>2022</v>
      </c>
      <c r="B19" s="17">
        <v>201.31140908041294</v>
      </c>
      <c r="C19" s="20"/>
      <c r="D19" s="19"/>
      <c r="E19" s="20"/>
      <c r="F19" s="19"/>
    </row>
    <row r="20" spans="1:6" x14ac:dyDescent="0.25">
      <c r="A20" s="16">
        <v>2023</v>
      </c>
      <c r="B20" s="17">
        <v>209.59585998858896</v>
      </c>
      <c r="C20" s="20"/>
      <c r="D20" s="19"/>
      <c r="E20" s="20"/>
      <c r="F20" s="19"/>
    </row>
    <row r="22" spans="1:6" x14ac:dyDescent="0.25">
      <c r="A22" t="s">
        <v>25</v>
      </c>
    </row>
    <row r="23" spans="1:6" x14ac:dyDescent="0.25">
      <c r="A23" t="s">
        <v>26</v>
      </c>
    </row>
  </sheetData>
  <hyperlinks>
    <hyperlink ref="E4" r:id="rId1" display="https://www.iea.org/data-and-statistics/charts/assumptions-for-energy-intensity-of-data-centres-data-transmission-networks-and-devices-in-2019" xr:uid="{1DAE83F2-3B59-4BB2-9A69-E1A4278146FE}"/>
    <hyperlink ref="E5" r:id="rId2" xr:uid="{B421E29B-3662-4310-A3FA-135B43DAC781}"/>
    <hyperlink ref="E6" r:id="rId3" xr:uid="{7D50DFEF-F222-4DFA-A296-06A103CDFE5D}"/>
    <hyperlink ref="E10" r:id="rId4" xr:uid="{8882D60E-99BB-4E4D-B36F-E9C5944D1943}"/>
    <hyperlink ref="E2" r:id="rId5" xr:uid="{7FAF15B0-2719-42B5-ACEF-9E19DF72C721}"/>
    <hyperlink ref="E7" r:id="rId6" xr:uid="{5BAE6A35-0781-4F28-BDD6-AF612D0EB82F}"/>
    <hyperlink ref="E8" r:id="rId7" xr:uid="{CE4C4B6C-398F-47C7-A311-AA09C783F8CA}"/>
    <hyperlink ref="E9" r:id="rId8" xr:uid="{34B0AEB2-3C5A-45D5-A673-AB6EB75D70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D9B5-6087-468E-AED1-9999AA1303BF}">
  <dimension ref="A1:E3"/>
  <sheetViews>
    <sheetView showGridLines="0" workbookViewId="0">
      <selection activeCell="C2" sqref="C2"/>
    </sheetView>
  </sheetViews>
  <sheetFormatPr defaultRowHeight="15" x14ac:dyDescent="0.25"/>
  <cols>
    <col min="1" max="1" width="15.28515625" bestFit="1" customWidth="1"/>
    <col min="3" max="3" width="13.42578125" bestFit="1" customWidth="1"/>
    <col min="4" max="4" width="11.42578125" customWidth="1"/>
    <col min="5" max="5" width="81.5703125" bestFit="1" customWidth="1"/>
  </cols>
  <sheetData>
    <row r="1" spans="1:5" x14ac:dyDescent="0.25">
      <c r="A1" s="1" t="s">
        <v>0</v>
      </c>
      <c r="B1" s="2" t="s">
        <v>1</v>
      </c>
      <c r="C1" s="2" t="s">
        <v>113</v>
      </c>
      <c r="D1" s="2" t="s">
        <v>3</v>
      </c>
      <c r="E1" s="110" t="s">
        <v>4</v>
      </c>
    </row>
    <row r="2" spans="1:5" x14ac:dyDescent="0.25">
      <c r="A2" s="4" t="s">
        <v>112</v>
      </c>
      <c r="B2" s="4">
        <v>2018</v>
      </c>
      <c r="C2" s="112">
        <f>((1.3*100000000)/(26.9*1000000+22.4*1000000+22.85*1000000))/1000</f>
        <v>1.8018018018018018E-3</v>
      </c>
      <c r="D2" s="6" t="s">
        <v>114</v>
      </c>
      <c r="E2" s="111" t="s">
        <v>115</v>
      </c>
    </row>
    <row r="3" spans="1:5" x14ac:dyDescent="0.25">
      <c r="A3" s="4"/>
      <c r="B3" s="4"/>
      <c r="C3" s="5"/>
      <c r="D3" s="6"/>
      <c r="E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A30A-F39A-43A8-B024-1EBE34A97E6D}">
  <dimension ref="A1:J51"/>
  <sheetViews>
    <sheetView showGridLines="0" topLeftCell="A10" workbookViewId="0">
      <selection activeCell="F49" sqref="F49"/>
    </sheetView>
  </sheetViews>
  <sheetFormatPr defaultRowHeight="15" x14ac:dyDescent="0.25"/>
  <cols>
    <col min="1" max="1" width="28.28515625" customWidth="1"/>
    <col min="2" max="2" width="10.5703125" customWidth="1"/>
    <col min="3" max="3" width="9.140625" customWidth="1"/>
    <col min="7" max="7" width="11.140625" customWidth="1"/>
    <col min="9" max="9" width="16.42578125" bestFit="1" customWidth="1"/>
    <col min="10" max="10" width="13.5703125" customWidth="1"/>
  </cols>
  <sheetData>
    <row r="1" spans="1:10" ht="45" x14ac:dyDescent="0.25">
      <c r="A1" s="40" t="s">
        <v>45</v>
      </c>
      <c r="B1" s="40" t="s">
        <v>0</v>
      </c>
      <c r="C1" s="41" t="s">
        <v>1</v>
      </c>
      <c r="D1" s="41" t="s">
        <v>40</v>
      </c>
      <c r="E1" s="14" t="s">
        <v>42</v>
      </c>
      <c r="F1" s="14" t="s">
        <v>46</v>
      </c>
      <c r="G1" s="52" t="s">
        <v>17</v>
      </c>
    </row>
    <row r="2" spans="1:10" x14ac:dyDescent="0.25">
      <c r="A2" s="60" t="s">
        <v>68</v>
      </c>
      <c r="B2" s="60" t="s">
        <v>65</v>
      </c>
      <c r="C2" s="61">
        <v>2013</v>
      </c>
      <c r="D2" s="65">
        <v>4.5</v>
      </c>
      <c r="E2" s="62">
        <v>4.0999999999999996</v>
      </c>
      <c r="F2" s="44">
        <f>D2/(365*E2)</f>
        <v>3.007016371533579E-3</v>
      </c>
      <c r="G2" s="52"/>
    </row>
    <row r="3" spans="1:10" x14ac:dyDescent="0.25">
      <c r="A3" s="60" t="s">
        <v>68</v>
      </c>
      <c r="B3" s="63" t="s">
        <v>66</v>
      </c>
      <c r="C3" s="61" t="s">
        <v>13</v>
      </c>
      <c r="D3" s="67">
        <f>F3*E3*365</f>
        <v>8.9789999999999992</v>
      </c>
      <c r="E3" s="62">
        <v>4.0999999999999996</v>
      </c>
      <c r="F3" s="64">
        <f>6/1000</f>
        <v>6.0000000000000001E-3</v>
      </c>
      <c r="G3" s="52"/>
    </row>
    <row r="4" spans="1:10" x14ac:dyDescent="0.25">
      <c r="A4" s="60" t="s">
        <v>68</v>
      </c>
      <c r="B4" s="42" t="s">
        <v>67</v>
      </c>
      <c r="C4" s="45" t="s">
        <v>13</v>
      </c>
      <c r="D4" s="43">
        <f>F4*E4*365</f>
        <v>7.3</v>
      </c>
      <c r="E4" s="43">
        <v>4</v>
      </c>
      <c r="F4" s="44">
        <v>5.0000000000000001E-3</v>
      </c>
      <c r="G4" s="53" t="s">
        <v>63</v>
      </c>
    </row>
    <row r="5" spans="1:10" x14ac:dyDescent="0.25">
      <c r="A5" s="60" t="s">
        <v>68</v>
      </c>
      <c r="B5" s="42" t="s">
        <v>67</v>
      </c>
      <c r="C5" s="45" t="s">
        <v>13</v>
      </c>
      <c r="D5" s="43">
        <f>F5*E5*365</f>
        <v>2.92</v>
      </c>
      <c r="E5" s="43">
        <v>4</v>
      </c>
      <c r="F5" s="44">
        <f>0.002</f>
        <v>2E-3</v>
      </c>
      <c r="G5" s="53" t="s">
        <v>61</v>
      </c>
    </row>
    <row r="6" spans="1:10" x14ac:dyDescent="0.25">
      <c r="A6" s="60" t="s">
        <v>68</v>
      </c>
      <c r="B6" s="42" t="s">
        <v>67</v>
      </c>
      <c r="C6" s="45" t="s">
        <v>13</v>
      </c>
      <c r="D6" s="43">
        <f>F6*E6*365</f>
        <v>8.76</v>
      </c>
      <c r="E6" s="43">
        <v>4</v>
      </c>
      <c r="F6" s="44">
        <f>0.006</f>
        <v>6.0000000000000001E-3</v>
      </c>
      <c r="G6" s="53" t="s">
        <v>62</v>
      </c>
    </row>
    <row r="7" spans="1:10" x14ac:dyDescent="0.25">
      <c r="A7" s="60" t="s">
        <v>64</v>
      </c>
      <c r="B7" s="42" t="s">
        <v>65</v>
      </c>
      <c r="C7" s="61">
        <v>2013</v>
      </c>
      <c r="D7" s="65">
        <v>6.1</v>
      </c>
      <c r="E7" s="62">
        <v>2.1</v>
      </c>
      <c r="F7" s="44">
        <f>D7/(365*E7)</f>
        <v>7.9582517938682311E-3</v>
      </c>
      <c r="G7" s="52"/>
      <c r="J7" s="52"/>
    </row>
    <row r="8" spans="1:10" x14ac:dyDescent="0.25">
      <c r="A8" s="60" t="s">
        <v>64</v>
      </c>
      <c r="B8" s="42" t="s">
        <v>50</v>
      </c>
      <c r="C8" s="61">
        <v>2016</v>
      </c>
      <c r="D8" s="65">
        <v>12.9</v>
      </c>
      <c r="E8" s="62">
        <v>2.1</v>
      </c>
      <c r="F8" s="44">
        <f>D8/(365*E8)</f>
        <v>1.6829745596868884E-2</v>
      </c>
      <c r="J8" s="52"/>
    </row>
    <row r="9" spans="1:10" x14ac:dyDescent="0.25">
      <c r="A9" s="60" t="s">
        <v>64</v>
      </c>
      <c r="B9" s="63" t="s">
        <v>66</v>
      </c>
      <c r="C9" s="61" t="s">
        <v>13</v>
      </c>
      <c r="D9" s="43">
        <f>F9*E9*365</f>
        <v>5.3655000000000008</v>
      </c>
      <c r="E9" s="62">
        <v>2.1</v>
      </c>
      <c r="F9" s="64">
        <f>7/1000</f>
        <v>7.0000000000000001E-3</v>
      </c>
      <c r="J9" s="52"/>
    </row>
    <row r="10" spans="1:10" x14ac:dyDescent="0.25">
      <c r="A10" s="47" t="s">
        <v>64</v>
      </c>
      <c r="B10" s="47" t="s">
        <v>69</v>
      </c>
      <c r="C10" s="47">
        <v>2020</v>
      </c>
      <c r="D10" s="50">
        <v>4.9286953531648932</v>
      </c>
      <c r="E10" s="66">
        <v>2.1</v>
      </c>
      <c r="F10" s="51">
        <f t="shared" ref="F10:F17" si="0">D10/(365*E10)</f>
        <v>6.4301309238941852E-3</v>
      </c>
      <c r="G10" t="s">
        <v>72</v>
      </c>
      <c r="J10" s="52"/>
    </row>
    <row r="11" spans="1:10" x14ac:dyDescent="0.25">
      <c r="A11" s="47" t="s">
        <v>64</v>
      </c>
      <c r="B11" s="47" t="s">
        <v>70</v>
      </c>
      <c r="C11" s="47">
        <v>2020</v>
      </c>
      <c r="D11" s="50">
        <v>3.3935279480807456</v>
      </c>
      <c r="E11" s="66">
        <v>2.1</v>
      </c>
      <c r="F11" s="51">
        <f t="shared" si="0"/>
        <v>4.4273032590746841E-3</v>
      </c>
      <c r="G11" t="s">
        <v>72</v>
      </c>
      <c r="J11" s="52"/>
    </row>
    <row r="12" spans="1:10" x14ac:dyDescent="0.25">
      <c r="A12" s="47" t="s">
        <v>64</v>
      </c>
      <c r="B12" s="47" t="s">
        <v>71</v>
      </c>
      <c r="C12" s="47">
        <v>2020</v>
      </c>
      <c r="D12" s="50">
        <v>5.6558799134679099</v>
      </c>
      <c r="E12" s="66">
        <v>2.1</v>
      </c>
      <c r="F12" s="51">
        <f t="shared" si="0"/>
        <v>7.3788387651244746E-3</v>
      </c>
      <c r="G12" t="s">
        <v>72</v>
      </c>
      <c r="J12" s="52"/>
    </row>
    <row r="13" spans="1:10" x14ac:dyDescent="0.25">
      <c r="A13" s="42" t="s">
        <v>41</v>
      </c>
      <c r="B13" s="42" t="s">
        <v>47</v>
      </c>
      <c r="C13" s="42">
        <v>2007</v>
      </c>
      <c r="D13" s="42">
        <f>AVERAGE(46,70)</f>
        <v>58</v>
      </c>
      <c r="E13" s="43">
        <v>4</v>
      </c>
      <c r="F13" s="44">
        <f t="shared" si="0"/>
        <v>3.9726027397260277E-2</v>
      </c>
      <c r="G13" s="53" t="s">
        <v>48</v>
      </c>
    </row>
    <row r="14" spans="1:10" x14ac:dyDescent="0.25">
      <c r="A14" s="42" t="s">
        <v>41</v>
      </c>
      <c r="B14" s="42" t="s">
        <v>47</v>
      </c>
      <c r="C14" s="42">
        <v>2012</v>
      </c>
      <c r="D14" s="42">
        <f>AVERAGE(39,59)</f>
        <v>49</v>
      </c>
      <c r="E14" s="43">
        <v>4</v>
      </c>
      <c r="F14" s="44">
        <f t="shared" si="0"/>
        <v>3.3561643835616439E-2</v>
      </c>
      <c r="G14" s="53" t="s">
        <v>48</v>
      </c>
    </row>
    <row r="15" spans="1:10" x14ac:dyDescent="0.25">
      <c r="A15" s="42" t="s">
        <v>41</v>
      </c>
      <c r="B15" s="42" t="s">
        <v>49</v>
      </c>
      <c r="C15" s="42">
        <v>2017</v>
      </c>
      <c r="D15" s="42">
        <v>42</v>
      </c>
      <c r="E15" s="43">
        <v>4</v>
      </c>
      <c r="F15" s="44">
        <f t="shared" si="0"/>
        <v>2.8767123287671233E-2</v>
      </c>
      <c r="G15" s="53"/>
    </row>
    <row r="16" spans="1:10" x14ac:dyDescent="0.25">
      <c r="A16" s="42" t="s">
        <v>41</v>
      </c>
      <c r="B16" s="42" t="s">
        <v>50</v>
      </c>
      <c r="C16" s="42">
        <v>2016</v>
      </c>
      <c r="D16" s="46">
        <v>41.8</v>
      </c>
      <c r="E16" s="43">
        <v>4</v>
      </c>
      <c r="F16" s="44">
        <f t="shared" si="0"/>
        <v>2.8630136986301367E-2</v>
      </c>
      <c r="G16" s="53" t="s">
        <v>51</v>
      </c>
    </row>
    <row r="17" spans="1:7" x14ac:dyDescent="0.25">
      <c r="A17" s="42" t="s">
        <v>41</v>
      </c>
      <c r="B17" s="42" t="s">
        <v>52</v>
      </c>
      <c r="C17" s="42">
        <v>2020</v>
      </c>
      <c r="D17" s="46">
        <f>I43</f>
        <v>50.096249999999991</v>
      </c>
      <c r="E17" s="43">
        <f>B43</f>
        <v>5.5</v>
      </c>
      <c r="F17" s="44">
        <f t="shared" si="0"/>
        <v>2.4954545454545451E-2</v>
      </c>
      <c r="G17" s="53" t="s">
        <v>53</v>
      </c>
    </row>
    <row r="18" spans="1:7" x14ac:dyDescent="0.25">
      <c r="A18" s="42" t="s">
        <v>41</v>
      </c>
      <c r="B18" s="42" t="s">
        <v>67</v>
      </c>
      <c r="C18" s="45" t="s">
        <v>13</v>
      </c>
      <c r="D18" s="46">
        <f>F18*E18*365</f>
        <v>87.6</v>
      </c>
      <c r="E18" s="43">
        <v>4</v>
      </c>
      <c r="F18" s="44">
        <f>60/1000</f>
        <v>0.06</v>
      </c>
      <c r="G18" s="53" t="s">
        <v>63</v>
      </c>
    </row>
    <row r="19" spans="1:7" x14ac:dyDescent="0.25">
      <c r="A19" s="42" t="s">
        <v>41</v>
      </c>
      <c r="B19" s="42" t="s">
        <v>67</v>
      </c>
      <c r="C19" s="45" t="s">
        <v>13</v>
      </c>
      <c r="D19" s="46">
        <f>F19*E19*365</f>
        <v>29.2</v>
      </c>
      <c r="E19" s="43">
        <v>4</v>
      </c>
      <c r="F19" s="44">
        <f>20/1000</f>
        <v>0.02</v>
      </c>
      <c r="G19" s="53" t="s">
        <v>61</v>
      </c>
    </row>
    <row r="20" spans="1:7" x14ac:dyDescent="0.25">
      <c r="A20" s="42" t="s">
        <v>41</v>
      </c>
      <c r="B20" s="42" t="s">
        <v>67</v>
      </c>
      <c r="C20" s="45" t="s">
        <v>13</v>
      </c>
      <c r="D20" s="46">
        <f>F20*E20*365</f>
        <v>146</v>
      </c>
      <c r="E20" s="43">
        <v>4</v>
      </c>
      <c r="F20" s="44">
        <f>100/1000</f>
        <v>0.1</v>
      </c>
      <c r="G20" s="53" t="s">
        <v>62</v>
      </c>
    </row>
    <row r="21" spans="1:7" x14ac:dyDescent="0.25">
      <c r="A21" s="42" t="s">
        <v>41</v>
      </c>
      <c r="B21" s="63" t="s">
        <v>66</v>
      </c>
      <c r="C21" s="45" t="s">
        <v>13</v>
      </c>
      <c r="D21" s="46">
        <f>F21*E21*365</f>
        <v>46.72</v>
      </c>
      <c r="E21" s="43">
        <v>4</v>
      </c>
      <c r="F21" s="64">
        <f>32/1000</f>
        <v>3.2000000000000001E-2</v>
      </c>
      <c r="G21" s="53"/>
    </row>
    <row r="22" spans="1:7" x14ac:dyDescent="0.25">
      <c r="A22" s="47" t="s">
        <v>41</v>
      </c>
      <c r="B22" s="48" t="s">
        <v>54</v>
      </c>
      <c r="C22" s="47">
        <v>2020</v>
      </c>
      <c r="D22" s="49">
        <f>TREND(D13:D14,C13:C14,C22)</f>
        <v>34.599999999999909</v>
      </c>
      <c r="E22" s="50">
        <v>4</v>
      </c>
      <c r="F22" s="51">
        <f t="shared" ref="F22:F27" si="1">D22/(365*E22)</f>
        <v>2.369863013698624E-2</v>
      </c>
      <c r="G22" s="54" t="s">
        <v>59</v>
      </c>
    </row>
    <row r="23" spans="1:7" x14ac:dyDescent="0.25">
      <c r="A23" s="42" t="s">
        <v>56</v>
      </c>
      <c r="B23" s="42" t="s">
        <v>47</v>
      </c>
      <c r="C23" s="42">
        <v>2007</v>
      </c>
      <c r="D23" s="42">
        <f>AVERAGE(149+70,231+70)</f>
        <v>260</v>
      </c>
      <c r="E23" s="43">
        <v>4</v>
      </c>
      <c r="F23" s="44">
        <f t="shared" si="1"/>
        <v>0.17808219178082191</v>
      </c>
      <c r="G23" s="53" t="s">
        <v>48</v>
      </c>
    </row>
    <row r="24" spans="1:7" x14ac:dyDescent="0.25">
      <c r="A24" s="42" t="s">
        <v>56</v>
      </c>
      <c r="B24" s="42" t="s">
        <v>47</v>
      </c>
      <c r="C24" s="42">
        <v>2012</v>
      </c>
      <c r="D24" s="42">
        <f>AVERAGE(137+70,213+70)</f>
        <v>245</v>
      </c>
      <c r="E24" s="43">
        <v>4</v>
      </c>
      <c r="F24" s="44">
        <f t="shared" si="1"/>
        <v>0.1678082191780822</v>
      </c>
      <c r="G24" s="53" t="s">
        <v>48</v>
      </c>
    </row>
    <row r="25" spans="1:7" x14ac:dyDescent="0.25">
      <c r="A25" s="42" t="s">
        <v>57</v>
      </c>
      <c r="B25" s="42" t="s">
        <v>49</v>
      </c>
      <c r="C25" s="42">
        <v>2017</v>
      </c>
      <c r="D25" s="42">
        <f>246+80</f>
        <v>326</v>
      </c>
      <c r="E25" s="43">
        <v>4</v>
      </c>
      <c r="F25" s="44">
        <f t="shared" si="1"/>
        <v>0.22328767123287671</v>
      </c>
      <c r="G25" s="53"/>
    </row>
    <row r="26" spans="1:7" x14ac:dyDescent="0.25">
      <c r="A26" s="42" t="s">
        <v>56</v>
      </c>
      <c r="B26" s="42" t="s">
        <v>50</v>
      </c>
      <c r="C26" s="42">
        <v>2016</v>
      </c>
      <c r="D26" s="46">
        <v>233</v>
      </c>
      <c r="E26" s="43">
        <v>4</v>
      </c>
      <c r="F26" s="44">
        <f t="shared" si="1"/>
        <v>0.15958904109589042</v>
      </c>
      <c r="G26" s="53" t="s">
        <v>51</v>
      </c>
    </row>
    <row r="27" spans="1:7" x14ac:dyDescent="0.25">
      <c r="A27" s="42" t="s">
        <v>58</v>
      </c>
      <c r="B27" s="42" t="s">
        <v>52</v>
      </c>
      <c r="C27" s="45" t="s">
        <v>13</v>
      </c>
      <c r="D27" s="46">
        <f>I46</f>
        <v>198.8228</v>
      </c>
      <c r="E27" s="43">
        <f>B44</f>
        <v>3.14</v>
      </c>
      <c r="F27" s="44">
        <f t="shared" si="1"/>
        <v>0.17347770700636941</v>
      </c>
      <c r="G27" s="53"/>
    </row>
    <row r="28" spans="1:7" x14ac:dyDescent="0.25">
      <c r="A28" s="42" t="s">
        <v>58</v>
      </c>
      <c r="B28" s="42" t="s">
        <v>67</v>
      </c>
      <c r="C28" s="45" t="s">
        <v>13</v>
      </c>
      <c r="D28" s="46">
        <f>F28*E28*365</f>
        <v>189.8</v>
      </c>
      <c r="E28" s="43">
        <v>4</v>
      </c>
      <c r="F28" s="44">
        <f>(100+30)/1000</f>
        <v>0.13</v>
      </c>
      <c r="G28" s="53" t="s">
        <v>63</v>
      </c>
    </row>
    <row r="29" spans="1:7" x14ac:dyDescent="0.25">
      <c r="A29" s="42" t="s">
        <v>58</v>
      </c>
      <c r="B29" s="42" t="s">
        <v>67</v>
      </c>
      <c r="C29" s="45" t="s">
        <v>13</v>
      </c>
      <c r="D29" s="46">
        <f>F29*E29*365</f>
        <v>131.4</v>
      </c>
      <c r="E29" s="43">
        <v>4</v>
      </c>
      <c r="F29" s="44">
        <f>(60+30)/1000</f>
        <v>0.09</v>
      </c>
      <c r="G29" s="53" t="s">
        <v>61</v>
      </c>
    </row>
    <row r="30" spans="1:7" x14ac:dyDescent="0.25">
      <c r="A30" s="42" t="s">
        <v>58</v>
      </c>
      <c r="B30" s="42" t="s">
        <v>67</v>
      </c>
      <c r="C30" s="45" t="s">
        <v>13</v>
      </c>
      <c r="D30" s="46">
        <f>F30*E30*365</f>
        <v>481.8</v>
      </c>
      <c r="E30" s="43">
        <v>4</v>
      </c>
      <c r="F30" s="44">
        <f>(300+30)/1000</f>
        <v>0.33</v>
      </c>
      <c r="G30" s="53" t="s">
        <v>62</v>
      </c>
    </row>
    <row r="31" spans="1:7" x14ac:dyDescent="0.25">
      <c r="A31" s="47" t="s">
        <v>56</v>
      </c>
      <c r="B31" s="48" t="s">
        <v>54</v>
      </c>
      <c r="C31" s="47">
        <v>2020</v>
      </c>
      <c r="D31" s="49">
        <f>TREND(D23:D24,C23:C24,C31)</f>
        <v>221</v>
      </c>
      <c r="E31" s="50">
        <v>4.7</v>
      </c>
      <c r="F31" s="51">
        <f>D31/(365*E31)</f>
        <v>0.12882541533080735</v>
      </c>
      <c r="G31" s="54" t="s">
        <v>60</v>
      </c>
    </row>
    <row r="38" spans="1:9" x14ac:dyDescent="0.25">
      <c r="A38" s="35" t="s">
        <v>55</v>
      </c>
    </row>
    <row r="41" spans="1:9" x14ac:dyDescent="0.25">
      <c r="A41" s="35" t="s">
        <v>30</v>
      </c>
      <c r="B41" s="120" t="s">
        <v>43</v>
      </c>
      <c r="C41" s="120"/>
      <c r="D41" s="120"/>
      <c r="E41" s="121" t="s">
        <v>31</v>
      </c>
      <c r="F41" s="122"/>
      <c r="G41" s="123"/>
      <c r="H41" s="126" t="s">
        <v>44</v>
      </c>
      <c r="I41" s="124" t="s">
        <v>40</v>
      </c>
    </row>
    <row r="42" spans="1:9" x14ac:dyDescent="0.25">
      <c r="A42" s="12" t="s">
        <v>32</v>
      </c>
      <c r="B42" s="36" t="s">
        <v>33</v>
      </c>
      <c r="C42" s="36" t="s">
        <v>34</v>
      </c>
      <c r="D42" s="36" t="s">
        <v>35</v>
      </c>
      <c r="E42" s="36" t="s">
        <v>33</v>
      </c>
      <c r="F42" s="36" t="s">
        <v>34</v>
      </c>
      <c r="G42" s="36" t="s">
        <v>35</v>
      </c>
      <c r="H42" s="127"/>
      <c r="I42" s="125"/>
    </row>
    <row r="43" spans="1:9" x14ac:dyDescent="0.25">
      <c r="A43" s="12" t="s">
        <v>36</v>
      </c>
      <c r="B43" s="56">
        <v>5.5</v>
      </c>
      <c r="C43" s="57">
        <v>2</v>
      </c>
      <c r="D43" s="56">
        <v>16.5</v>
      </c>
      <c r="E43" s="56">
        <v>1.9E-2</v>
      </c>
      <c r="F43" s="56">
        <v>4.0000000000000001E-3</v>
      </c>
      <c r="G43" s="56">
        <v>1.5E-3</v>
      </c>
      <c r="H43" s="56">
        <f>SUMPRODUCT(B43:D43,E43:G43)</f>
        <v>0.13724999999999998</v>
      </c>
      <c r="I43" s="55">
        <f>H43*365</f>
        <v>50.096249999999991</v>
      </c>
    </row>
    <row r="44" spans="1:9" x14ac:dyDescent="0.25">
      <c r="A44" s="18" t="s">
        <v>37</v>
      </c>
      <c r="B44" s="37">
        <v>3.14</v>
      </c>
      <c r="C44" s="37">
        <v>2.62</v>
      </c>
      <c r="D44" s="37">
        <v>18.239999999999998</v>
      </c>
      <c r="E44" s="37">
        <v>0.15</v>
      </c>
      <c r="F44" s="37">
        <v>4.4999999999999998E-2</v>
      </c>
      <c r="G44" s="37">
        <v>5.0000000000000001E-3</v>
      </c>
      <c r="H44" s="37">
        <f>SUMPRODUCT(B44:D44,E44:G44)</f>
        <v>0.68009999999999993</v>
      </c>
      <c r="I44" s="39">
        <f>H44*365</f>
        <v>248.23649999999998</v>
      </c>
    </row>
    <row r="45" spans="1:9" x14ac:dyDescent="0.25">
      <c r="A45" s="18" t="s">
        <v>38</v>
      </c>
      <c r="B45" s="37">
        <v>3.14</v>
      </c>
      <c r="C45" s="37">
        <v>2.62</v>
      </c>
      <c r="D45" s="37">
        <v>18.239999999999998</v>
      </c>
      <c r="E45" s="37">
        <v>8.5000000000000006E-2</v>
      </c>
      <c r="F45" s="37">
        <v>0.03</v>
      </c>
      <c r="G45" s="37">
        <v>3.5000000000000001E-3</v>
      </c>
      <c r="H45" s="37">
        <f>SUMPRODUCT(B45:D45,E45:G45)</f>
        <v>0.40934000000000004</v>
      </c>
      <c r="I45" s="39">
        <f>H45*365</f>
        <v>149.40910000000002</v>
      </c>
    </row>
    <row r="46" spans="1:9" x14ac:dyDescent="0.25">
      <c r="A46" s="58" t="s">
        <v>39</v>
      </c>
      <c r="B46" s="59"/>
      <c r="C46" s="59"/>
      <c r="D46" s="59"/>
      <c r="E46" s="59"/>
      <c r="F46" s="59"/>
      <c r="G46" s="59"/>
      <c r="H46" s="59"/>
      <c r="I46" s="55">
        <f>AVERAGE(I44:I45)</f>
        <v>198.8228</v>
      </c>
    </row>
    <row r="50" spans="3:5" x14ac:dyDescent="0.25">
      <c r="C50" s="38"/>
      <c r="D50" s="38"/>
      <c r="E50" s="38"/>
    </row>
    <row r="51" spans="3:5" x14ac:dyDescent="0.25">
      <c r="C51" s="38"/>
      <c r="D51" s="38"/>
      <c r="E51" s="38"/>
    </row>
  </sheetData>
  <mergeCells count="4">
    <mergeCell ref="B41:D41"/>
    <mergeCell ref="E41:G41"/>
    <mergeCell ref="I41:I42"/>
    <mergeCell ref="H41:H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D8-1E75-4652-8097-4465458D2F6C}">
  <dimension ref="A1:J35"/>
  <sheetViews>
    <sheetView showGridLines="0" workbookViewId="0">
      <selection activeCell="C32" sqref="C32"/>
    </sheetView>
  </sheetViews>
  <sheetFormatPr defaultRowHeight="15" x14ac:dyDescent="0.25"/>
  <cols>
    <col min="1" max="1" width="13.7109375" bestFit="1" customWidth="1"/>
    <col min="2" max="2" width="4.85546875" bestFit="1" customWidth="1"/>
    <col min="3" max="3" width="17.140625" bestFit="1" customWidth="1"/>
    <col min="4" max="4" width="9.28515625" customWidth="1"/>
    <col min="5" max="5" width="54.5703125" bestFit="1" customWidth="1"/>
  </cols>
  <sheetData>
    <row r="1" spans="1:10" x14ac:dyDescent="0.25">
      <c r="A1" s="1" t="s">
        <v>0</v>
      </c>
      <c r="B1" s="2" t="s">
        <v>1</v>
      </c>
      <c r="C1" s="2" t="s">
        <v>93</v>
      </c>
      <c r="D1" s="2" t="s">
        <v>3</v>
      </c>
      <c r="E1" s="3" t="s">
        <v>4</v>
      </c>
    </row>
    <row r="2" spans="1:10" x14ac:dyDescent="0.25">
      <c r="A2" s="4" t="s">
        <v>5</v>
      </c>
      <c r="B2" s="4">
        <v>2014</v>
      </c>
      <c r="C2" s="5">
        <v>0.15</v>
      </c>
      <c r="D2" s="6" t="s">
        <v>6</v>
      </c>
      <c r="E2" s="7" t="s">
        <v>73</v>
      </c>
    </row>
    <row r="3" spans="1:10" x14ac:dyDescent="0.25">
      <c r="A3" s="4" t="s">
        <v>5</v>
      </c>
      <c r="B3" s="4">
        <v>2014</v>
      </c>
      <c r="C3" s="5">
        <v>0.43</v>
      </c>
      <c r="D3" s="6" t="s">
        <v>6</v>
      </c>
      <c r="E3" s="7" t="s">
        <v>73</v>
      </c>
    </row>
    <row r="4" spans="1:10" x14ac:dyDescent="0.25">
      <c r="A4" s="4" t="s">
        <v>74</v>
      </c>
      <c r="B4" s="9" t="s">
        <v>75</v>
      </c>
      <c r="C4" s="5">
        <v>0.15</v>
      </c>
      <c r="D4" s="6" t="s">
        <v>6</v>
      </c>
      <c r="E4" s="7" t="s">
        <v>73</v>
      </c>
    </row>
    <row r="5" spans="1:10" x14ac:dyDescent="0.25">
      <c r="A5" s="4" t="s">
        <v>74</v>
      </c>
      <c r="B5" s="9" t="s">
        <v>75</v>
      </c>
      <c r="C5" s="5">
        <v>0.88</v>
      </c>
      <c r="D5" s="6" t="s">
        <v>6</v>
      </c>
      <c r="E5" s="7" t="s">
        <v>73</v>
      </c>
    </row>
    <row r="6" spans="1:10" x14ac:dyDescent="0.25">
      <c r="A6" s="4" t="s">
        <v>76</v>
      </c>
      <c r="B6" s="9" t="s">
        <v>75</v>
      </c>
      <c r="C6" s="5">
        <v>2.5000000000000001E-2</v>
      </c>
      <c r="D6" s="6" t="s">
        <v>6</v>
      </c>
      <c r="E6" s="7" t="s">
        <v>73</v>
      </c>
    </row>
    <row r="7" spans="1:10" x14ac:dyDescent="0.25">
      <c r="A7" s="68" t="s">
        <v>76</v>
      </c>
      <c r="B7" s="69" t="s">
        <v>75</v>
      </c>
      <c r="C7" s="70">
        <v>0.23</v>
      </c>
      <c r="D7" s="71" t="s">
        <v>6</v>
      </c>
      <c r="E7" s="72" t="s">
        <v>73</v>
      </c>
    </row>
    <row r="8" spans="1:10" ht="15.75" thickBot="1" x14ac:dyDescent="0.3">
      <c r="A8" s="73"/>
      <c r="B8" s="74"/>
      <c r="C8" s="75"/>
      <c r="D8" s="76"/>
      <c r="E8" s="77"/>
    </row>
    <row r="9" spans="1:10" ht="15.75" thickTop="1" x14ac:dyDescent="0.25">
      <c r="A9" s="4" t="s">
        <v>77</v>
      </c>
      <c r="B9" s="4">
        <v>2009</v>
      </c>
      <c r="C9" s="5">
        <v>0.08</v>
      </c>
      <c r="D9" s="6" t="s">
        <v>6</v>
      </c>
      <c r="E9" s="7" t="s">
        <v>78</v>
      </c>
    </row>
    <row r="10" spans="1:10" x14ac:dyDescent="0.25">
      <c r="A10" s="4" t="s">
        <v>79</v>
      </c>
      <c r="B10" s="4">
        <v>2009</v>
      </c>
      <c r="C10" s="5">
        <v>0.2</v>
      </c>
      <c r="D10" s="6" t="s">
        <v>6</v>
      </c>
      <c r="E10" s="7" t="s">
        <v>78</v>
      </c>
    </row>
    <row r="11" spans="1:10" x14ac:dyDescent="0.25">
      <c r="A11" s="4" t="s">
        <v>80</v>
      </c>
      <c r="B11" s="4">
        <v>2010</v>
      </c>
      <c r="C11" s="5">
        <v>0.16</v>
      </c>
      <c r="D11" s="6" t="s">
        <v>6</v>
      </c>
      <c r="E11" s="7" t="s">
        <v>78</v>
      </c>
    </row>
    <row r="12" spans="1:10" x14ac:dyDescent="0.25">
      <c r="A12" s="4" t="s">
        <v>80</v>
      </c>
      <c r="B12" s="4">
        <v>2012</v>
      </c>
      <c r="C12" s="5">
        <v>0.14000000000000001</v>
      </c>
      <c r="D12" s="6" t="s">
        <v>6</v>
      </c>
      <c r="E12" s="7" t="s">
        <v>78</v>
      </c>
    </row>
    <row r="13" spans="1:10" x14ac:dyDescent="0.25">
      <c r="A13" s="4" t="s">
        <v>120</v>
      </c>
      <c r="B13" s="4">
        <v>2013</v>
      </c>
      <c r="C13" s="5">
        <v>0.01</v>
      </c>
      <c r="D13" s="6" t="s">
        <v>6</v>
      </c>
      <c r="E13" s="7" t="s">
        <v>116</v>
      </c>
    </row>
    <row r="14" spans="1:10" x14ac:dyDescent="0.25">
      <c r="A14" s="4" t="s">
        <v>120</v>
      </c>
      <c r="B14" s="4">
        <v>2013</v>
      </c>
      <c r="C14" s="5">
        <v>2.3E-2</v>
      </c>
      <c r="D14" s="6" t="s">
        <v>6</v>
      </c>
      <c r="E14" s="7" t="s">
        <v>117</v>
      </c>
    </row>
    <row r="15" spans="1:10" x14ac:dyDescent="0.25">
      <c r="A15" s="4" t="s">
        <v>120</v>
      </c>
      <c r="B15" s="4">
        <v>2013</v>
      </c>
      <c r="C15" s="5">
        <v>0.08</v>
      </c>
      <c r="D15" s="6" t="s">
        <v>6</v>
      </c>
      <c r="E15" s="7" t="s">
        <v>118</v>
      </c>
    </row>
    <row r="16" spans="1:10" x14ac:dyDescent="0.25">
      <c r="A16" s="78" t="s">
        <v>81</v>
      </c>
      <c r="B16" s="79">
        <v>2014</v>
      </c>
      <c r="C16" s="80">
        <v>0.02</v>
      </c>
      <c r="D16" s="81" t="s">
        <v>6</v>
      </c>
      <c r="E16" s="82" t="s">
        <v>82</v>
      </c>
      <c r="G16">
        <v>2014</v>
      </c>
      <c r="H16" s="113">
        <f>C16</f>
        <v>0.02</v>
      </c>
      <c r="I16" s="113">
        <f>C17</f>
        <v>1.44E-2</v>
      </c>
      <c r="J16" s="113">
        <f>C18</f>
        <v>2.3E-2</v>
      </c>
    </row>
    <row r="17" spans="1:10" x14ac:dyDescent="0.25">
      <c r="A17" s="78" t="s">
        <v>81</v>
      </c>
      <c r="B17" s="79">
        <v>2014</v>
      </c>
      <c r="C17" s="80">
        <v>1.44E-2</v>
      </c>
      <c r="D17" s="81" t="s">
        <v>6</v>
      </c>
      <c r="E17" s="82" t="s">
        <v>83</v>
      </c>
      <c r="G17">
        <v>2015</v>
      </c>
      <c r="H17">
        <f>H16-H16*0.02</f>
        <v>1.9599999999999999E-2</v>
      </c>
      <c r="I17">
        <f>I16-I16*0.02</f>
        <v>1.4112E-2</v>
      </c>
      <c r="J17">
        <f>J16-J16*0.02</f>
        <v>2.2540000000000001E-2</v>
      </c>
    </row>
    <row r="18" spans="1:10" x14ac:dyDescent="0.25">
      <c r="A18" s="78" t="s">
        <v>81</v>
      </c>
      <c r="B18" s="79">
        <v>2014</v>
      </c>
      <c r="C18" s="80">
        <v>2.3E-2</v>
      </c>
      <c r="D18" s="81" t="s">
        <v>6</v>
      </c>
      <c r="E18" s="82" t="s">
        <v>84</v>
      </c>
      <c r="G18">
        <v>2016</v>
      </c>
      <c r="H18">
        <f t="shared" ref="H18:I19" si="0">H17-H17*0.02</f>
        <v>1.9207999999999999E-2</v>
      </c>
      <c r="I18">
        <f t="shared" si="0"/>
        <v>1.382976E-2</v>
      </c>
      <c r="J18">
        <f t="shared" ref="J18" si="1">J17-J17*0.02</f>
        <v>2.20892E-2</v>
      </c>
    </row>
    <row r="19" spans="1:10" x14ac:dyDescent="0.25">
      <c r="A19" s="115" t="s">
        <v>95</v>
      </c>
      <c r="B19" s="116">
        <v>2020</v>
      </c>
      <c r="C19" s="117">
        <v>1.7716847617279995E-2</v>
      </c>
      <c r="D19" s="118" t="s">
        <v>6</v>
      </c>
      <c r="E19" s="119" t="s">
        <v>94</v>
      </c>
      <c r="G19">
        <v>2017</v>
      </c>
      <c r="H19">
        <f t="shared" si="0"/>
        <v>1.8823839999999998E-2</v>
      </c>
      <c r="I19">
        <f t="shared" si="0"/>
        <v>1.35531648E-2</v>
      </c>
      <c r="J19">
        <f t="shared" ref="J19" si="2">J18-J18*0.02</f>
        <v>2.1647415999999999E-2</v>
      </c>
    </row>
    <row r="20" spans="1:10" x14ac:dyDescent="0.25">
      <c r="A20" s="115" t="s">
        <v>96</v>
      </c>
      <c r="B20" s="116">
        <v>2020</v>
      </c>
      <c r="C20" s="117">
        <v>1.27561302844416E-2</v>
      </c>
      <c r="D20" s="118" t="s">
        <v>6</v>
      </c>
      <c r="E20" s="119" t="s">
        <v>94</v>
      </c>
      <c r="G20">
        <v>2018</v>
      </c>
      <c r="H20">
        <f t="shared" ref="H20:J22" si="3">H19-H19*0.02</f>
        <v>1.8447363199999997E-2</v>
      </c>
      <c r="I20">
        <f t="shared" si="3"/>
        <v>1.3282101503999999E-2</v>
      </c>
      <c r="J20">
        <f t="shared" si="3"/>
        <v>2.1214467679999998E-2</v>
      </c>
    </row>
    <row r="21" spans="1:10" x14ac:dyDescent="0.25">
      <c r="A21" s="115" t="s">
        <v>97</v>
      </c>
      <c r="B21" s="116">
        <v>2020</v>
      </c>
      <c r="C21" s="117">
        <v>2.0374374759871996E-2</v>
      </c>
      <c r="D21" s="118" t="s">
        <v>6</v>
      </c>
      <c r="E21" s="119" t="s">
        <v>94</v>
      </c>
      <c r="G21">
        <v>2019</v>
      </c>
      <c r="H21">
        <f t="shared" si="3"/>
        <v>1.8078415935999997E-2</v>
      </c>
      <c r="I21">
        <f t="shared" si="3"/>
        <v>1.301645947392E-2</v>
      </c>
      <c r="J21">
        <f t="shared" si="3"/>
        <v>2.0790178326399997E-2</v>
      </c>
    </row>
    <row r="22" spans="1:10" x14ac:dyDescent="0.25">
      <c r="A22" s="4" t="s">
        <v>119</v>
      </c>
      <c r="B22" s="9">
        <v>2014</v>
      </c>
      <c r="C22" s="5">
        <v>5.1999999999999998E-2</v>
      </c>
      <c r="D22" s="6" t="s">
        <v>6</v>
      </c>
      <c r="E22" s="7" t="s">
        <v>121</v>
      </c>
      <c r="G22" s="114">
        <v>2020</v>
      </c>
      <c r="H22" s="114">
        <f t="shared" si="3"/>
        <v>1.7716847617279995E-2</v>
      </c>
      <c r="I22" s="114">
        <f t="shared" si="3"/>
        <v>1.27561302844416E-2</v>
      </c>
      <c r="J22" s="114">
        <f t="shared" si="3"/>
        <v>2.0374374759871996E-2</v>
      </c>
    </row>
    <row r="23" spans="1:10" x14ac:dyDescent="0.25">
      <c r="A23" s="4" t="s">
        <v>10</v>
      </c>
      <c r="B23" s="4">
        <v>2014</v>
      </c>
      <c r="C23" s="5">
        <f>0.02</f>
        <v>0.02</v>
      </c>
      <c r="D23" s="6" t="s">
        <v>6</v>
      </c>
      <c r="E23" s="7" t="s">
        <v>85</v>
      </c>
    </row>
    <row r="24" spans="1:10" x14ac:dyDescent="0.25">
      <c r="A24" s="4" t="s">
        <v>10</v>
      </c>
      <c r="B24" s="4">
        <v>2014</v>
      </c>
      <c r="C24" s="5">
        <v>4.0000000000000001E-3</v>
      </c>
      <c r="D24" s="6" t="s">
        <v>6</v>
      </c>
      <c r="E24" s="7" t="s">
        <v>86</v>
      </c>
    </row>
    <row r="25" spans="1:10" x14ac:dyDescent="0.25">
      <c r="A25" s="4" t="s">
        <v>80</v>
      </c>
      <c r="B25" s="4">
        <v>2015</v>
      </c>
      <c r="C25" s="5">
        <v>2.3E-2</v>
      </c>
      <c r="D25" s="6" t="s">
        <v>6</v>
      </c>
      <c r="E25" s="7" t="s">
        <v>78</v>
      </c>
    </row>
    <row r="26" spans="1:10" x14ac:dyDescent="0.25">
      <c r="A26" s="4" t="s">
        <v>80</v>
      </c>
      <c r="B26" s="4">
        <v>2015</v>
      </c>
      <c r="C26" s="5">
        <v>0.06</v>
      </c>
      <c r="D26" s="6" t="s">
        <v>6</v>
      </c>
      <c r="E26" s="7" t="s">
        <v>78</v>
      </c>
    </row>
    <row r="27" spans="1:10" x14ac:dyDescent="0.25">
      <c r="A27" s="4" t="s">
        <v>7</v>
      </c>
      <c r="B27" s="4">
        <v>2020</v>
      </c>
      <c r="C27" s="5">
        <v>8.5000000000000006E-2</v>
      </c>
      <c r="D27" s="6" t="s">
        <v>6</v>
      </c>
      <c r="E27" s="7" t="s">
        <v>78</v>
      </c>
    </row>
    <row r="28" spans="1:10" x14ac:dyDescent="0.25">
      <c r="A28" s="68" t="s">
        <v>12</v>
      </c>
      <c r="B28" s="69" t="s">
        <v>13</v>
      </c>
      <c r="C28" s="70">
        <v>0.06</v>
      </c>
      <c r="D28" s="71" t="s">
        <v>6</v>
      </c>
      <c r="E28" s="72" t="s">
        <v>87</v>
      </c>
    </row>
    <row r="29" spans="1:10" s="94" customFormat="1" ht="15.75" thickBot="1" x14ac:dyDescent="0.3">
      <c r="A29" s="73" t="s">
        <v>88</v>
      </c>
      <c r="B29" s="73">
        <v>2022</v>
      </c>
      <c r="C29" s="92">
        <f>(298+701+13+21024)/(365*24)</f>
        <v>2.5155251141552513</v>
      </c>
      <c r="D29" s="93" t="s">
        <v>90</v>
      </c>
      <c r="E29" s="77" t="s">
        <v>78</v>
      </c>
    </row>
    <row r="30" spans="1:10" ht="15.75" thickTop="1" x14ac:dyDescent="0.25">
      <c r="A30" s="83" t="s">
        <v>89</v>
      </c>
      <c r="B30" s="84" t="s">
        <v>13</v>
      </c>
      <c r="C30" s="85">
        <f>4/1000</f>
        <v>4.0000000000000001E-3</v>
      </c>
      <c r="D30" s="86" t="s">
        <v>90</v>
      </c>
      <c r="E30" s="87" t="s">
        <v>91</v>
      </c>
    </row>
    <row r="31" spans="1:10" x14ac:dyDescent="0.25">
      <c r="A31" s="88" t="s">
        <v>89</v>
      </c>
      <c r="B31" s="89" t="s">
        <v>13</v>
      </c>
      <c r="C31" s="90">
        <f>10/1000</f>
        <v>0.01</v>
      </c>
      <c r="D31" s="91" t="s">
        <v>90</v>
      </c>
      <c r="E31" s="22" t="s">
        <v>91</v>
      </c>
    </row>
    <row r="32" spans="1:10" x14ac:dyDescent="0.25">
      <c r="A32" s="4" t="s">
        <v>92</v>
      </c>
      <c r="B32" s="4">
        <v>2017</v>
      </c>
      <c r="C32" s="5">
        <f>87/(365*24)</f>
        <v>9.9315068493150693E-3</v>
      </c>
      <c r="D32" s="6" t="s">
        <v>90</v>
      </c>
      <c r="E32" s="7" t="s">
        <v>91</v>
      </c>
    </row>
    <row r="33" spans="1:5" x14ac:dyDescent="0.25">
      <c r="A33" s="4" t="s">
        <v>88</v>
      </c>
      <c r="B33" s="4">
        <v>2022</v>
      </c>
      <c r="C33" s="5">
        <f>87/(365*24)</f>
        <v>9.9315068493150693E-3</v>
      </c>
      <c r="D33" s="6" t="s">
        <v>90</v>
      </c>
      <c r="E33" s="7" t="s">
        <v>91</v>
      </c>
    </row>
    <row r="34" spans="1:5" ht="15.75" thickBot="1" x14ac:dyDescent="0.3">
      <c r="A34" s="73" t="s">
        <v>52</v>
      </c>
      <c r="B34" s="73" t="s">
        <v>13</v>
      </c>
      <c r="C34" s="92">
        <f>6/1000</f>
        <v>6.0000000000000001E-3</v>
      </c>
      <c r="D34" s="93" t="s">
        <v>90</v>
      </c>
      <c r="E34" s="77" t="s">
        <v>91</v>
      </c>
    </row>
    <row r="35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D33D-062E-4967-812C-DAF0267DDB26}">
  <dimension ref="B1:I15"/>
  <sheetViews>
    <sheetView topLeftCell="I1" workbookViewId="0">
      <selection activeCell="R17" sqref="R17"/>
    </sheetView>
  </sheetViews>
  <sheetFormatPr defaultRowHeight="15" x14ac:dyDescent="0.25"/>
  <cols>
    <col min="1" max="1" width="2.7109375" customWidth="1"/>
    <col min="2" max="2" width="26.42578125" bestFit="1" customWidth="1"/>
  </cols>
  <sheetData>
    <row r="1" spans="2:9" x14ac:dyDescent="0.25">
      <c r="G1" s="106" t="s">
        <v>110</v>
      </c>
    </row>
    <row r="2" spans="2:9" ht="60" x14ac:dyDescent="0.25">
      <c r="B2" s="18"/>
      <c r="C2" s="95" t="s">
        <v>98</v>
      </c>
      <c r="D2" s="95" t="s">
        <v>99</v>
      </c>
      <c r="E2" s="95" t="s">
        <v>100</v>
      </c>
      <c r="F2" s="95" t="s">
        <v>101</v>
      </c>
      <c r="G2" s="96" t="s">
        <v>102</v>
      </c>
      <c r="H2" s="97" t="s">
        <v>103</v>
      </c>
      <c r="I2" s="98" t="s">
        <v>104</v>
      </c>
    </row>
    <row r="3" spans="2:9" x14ac:dyDescent="0.25">
      <c r="B3" s="12" t="s">
        <v>68</v>
      </c>
      <c r="C3" s="99">
        <v>3</v>
      </c>
      <c r="D3" s="99">
        <v>4.0999999999999996</v>
      </c>
      <c r="E3" s="100">
        <v>4489.5</v>
      </c>
      <c r="F3" s="18">
        <v>5.0000000000000001E-3</v>
      </c>
      <c r="G3" s="101">
        <f>E3*F3*0.5</f>
        <v>11.223750000000001</v>
      </c>
      <c r="H3" s="102">
        <v>38</v>
      </c>
      <c r="I3" s="103">
        <f>G3+H3</f>
        <v>49.223750000000003</v>
      </c>
    </row>
    <row r="4" spans="2:9" x14ac:dyDescent="0.25">
      <c r="B4" s="12" t="s">
        <v>64</v>
      </c>
      <c r="C4" s="99">
        <v>3</v>
      </c>
      <c r="D4" s="99">
        <v>2.1</v>
      </c>
      <c r="E4" s="100">
        <v>2299.5</v>
      </c>
      <c r="F4" s="104">
        <v>6.4301309238941852E-3</v>
      </c>
      <c r="G4" s="101">
        <f>E4*F4*0.5</f>
        <v>7.3930430297473393</v>
      </c>
      <c r="H4" s="102">
        <v>87</v>
      </c>
      <c r="I4" s="103">
        <f>G4+H4</f>
        <v>94.393043029747332</v>
      </c>
    </row>
    <row r="5" spans="2:9" x14ac:dyDescent="0.25">
      <c r="B5" s="12" t="s">
        <v>41</v>
      </c>
      <c r="C5" s="99">
        <v>4</v>
      </c>
      <c r="D5" s="99">
        <v>4</v>
      </c>
      <c r="E5" s="100">
        <v>5840</v>
      </c>
      <c r="F5" s="104">
        <v>2.369863013698624E-2</v>
      </c>
      <c r="G5" s="101">
        <f>E5*F5*0.5</f>
        <v>69.199999999999818</v>
      </c>
      <c r="H5" s="102">
        <v>170.417287701188</v>
      </c>
      <c r="I5" s="103">
        <f>G5+H5</f>
        <v>239.61728770118782</v>
      </c>
    </row>
    <row r="6" spans="2:9" x14ac:dyDescent="0.25">
      <c r="B6" s="12" t="s">
        <v>109</v>
      </c>
      <c r="C6" s="99">
        <v>5</v>
      </c>
      <c r="D6" s="99">
        <v>4.7</v>
      </c>
      <c r="E6" s="100">
        <v>8577.5</v>
      </c>
      <c r="F6" s="104">
        <v>0.12882541533080735</v>
      </c>
      <c r="G6" s="101">
        <f>E6*F6*0.5</f>
        <v>552.5</v>
      </c>
      <c r="H6" s="102">
        <v>580.99047718149905</v>
      </c>
      <c r="I6" s="103">
        <f>G6+H6</f>
        <v>1133.490477181499</v>
      </c>
    </row>
    <row r="7" spans="2:9" x14ac:dyDescent="0.25">
      <c r="B7" s="12" t="s">
        <v>105</v>
      </c>
      <c r="C7" s="99">
        <v>7</v>
      </c>
      <c r="D7" s="99">
        <v>3.9</v>
      </c>
      <c r="E7" s="100">
        <v>9964.5</v>
      </c>
      <c r="F7" s="104">
        <v>2.55395E-2</v>
      </c>
      <c r="G7" s="101">
        <f t="shared" ref="G7:G10" si="0">E7*F7*0.5</f>
        <v>127.244173875</v>
      </c>
      <c r="H7" s="102">
        <v>373.39260922101499</v>
      </c>
      <c r="I7" s="103">
        <f t="shared" ref="I7:I10" si="1">G7+H7</f>
        <v>500.63678309601499</v>
      </c>
    </row>
    <row r="8" spans="2:9" x14ac:dyDescent="0.25">
      <c r="B8" s="12" t="s">
        <v>106</v>
      </c>
      <c r="C8" s="99">
        <v>7</v>
      </c>
      <c r="D8" s="99">
        <v>3.9</v>
      </c>
      <c r="E8" s="100">
        <v>9964.5</v>
      </c>
      <c r="F8" s="104">
        <v>3.3253846153846148E-2</v>
      </c>
      <c r="G8" s="101">
        <f t="shared" si="0"/>
        <v>165.67897499999998</v>
      </c>
      <c r="H8" s="102">
        <v>373.39260922101499</v>
      </c>
      <c r="I8" s="103">
        <f t="shared" si="1"/>
        <v>539.07158422101497</v>
      </c>
    </row>
    <row r="9" spans="2:9" x14ac:dyDescent="0.25">
      <c r="B9" s="12" t="s">
        <v>107</v>
      </c>
      <c r="C9" s="99">
        <v>7</v>
      </c>
      <c r="D9" s="99">
        <v>3.9</v>
      </c>
      <c r="E9" s="100">
        <v>9964.5</v>
      </c>
      <c r="F9" s="104">
        <v>8.0017199999999997E-2</v>
      </c>
      <c r="G9" s="101">
        <f t="shared" si="0"/>
        <v>398.66569469999996</v>
      </c>
      <c r="H9" s="102">
        <v>373.39260922101499</v>
      </c>
      <c r="I9" s="103">
        <f t="shared" si="1"/>
        <v>772.05830392101495</v>
      </c>
    </row>
    <row r="10" spans="2:9" x14ac:dyDescent="0.25">
      <c r="B10" s="12" t="s">
        <v>108</v>
      </c>
      <c r="C10" s="99">
        <v>3.5</v>
      </c>
      <c r="D10" s="99">
        <v>24</v>
      </c>
      <c r="E10" s="100">
        <v>30660</v>
      </c>
      <c r="F10" s="104">
        <v>7.0000000000000001E-3</v>
      </c>
      <c r="G10" s="101">
        <f t="shared" si="0"/>
        <v>107.31</v>
      </c>
      <c r="H10" s="105">
        <v>6.7697272471885599</v>
      </c>
      <c r="I10" s="103">
        <f t="shared" si="1"/>
        <v>114.07972724718856</v>
      </c>
    </row>
    <row r="11" spans="2:9" x14ac:dyDescent="0.25">
      <c r="B11" s="18"/>
      <c r="C11" s="18"/>
      <c r="D11" s="18"/>
      <c r="E11" s="18"/>
      <c r="F11" s="18"/>
      <c r="G11" s="18"/>
      <c r="H11" s="18"/>
      <c r="I11" s="18"/>
    </row>
    <row r="12" spans="2:9" x14ac:dyDescent="0.25">
      <c r="B12" s="18"/>
      <c r="C12" s="18"/>
      <c r="D12" s="18"/>
      <c r="E12" s="18"/>
      <c r="F12" s="18"/>
      <c r="G12" s="18"/>
      <c r="H12" s="18"/>
      <c r="I12" s="18"/>
    </row>
    <row r="13" spans="2:9" x14ac:dyDescent="0.25">
      <c r="B13" s="18"/>
      <c r="C13" s="18"/>
      <c r="D13" s="18"/>
      <c r="E13" s="18"/>
      <c r="F13" s="18"/>
      <c r="G13" s="18"/>
      <c r="H13" s="18"/>
      <c r="I13" s="18"/>
    </row>
    <row r="14" spans="2:9" x14ac:dyDescent="0.25">
      <c r="B14" s="18"/>
      <c r="C14" s="18"/>
      <c r="D14" s="18"/>
      <c r="E14" s="18"/>
      <c r="F14" s="18"/>
      <c r="G14" s="18"/>
      <c r="H14" s="18"/>
      <c r="I14" s="18"/>
    </row>
    <row r="15" spans="2:9" x14ac:dyDescent="0.25">
      <c r="B15" s="18"/>
      <c r="C15" s="18"/>
      <c r="D15" s="18"/>
      <c r="E15" s="18"/>
      <c r="F15" s="18"/>
      <c r="G15" s="18"/>
      <c r="H15" s="18"/>
      <c r="I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D947-EED3-443E-BF16-8B29709D80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Electricity_Data_Centers</vt:lpstr>
      <vt:lpstr>Water_Data_Centers</vt:lpstr>
      <vt:lpstr>Electricity_EndUserDevices</vt:lpstr>
      <vt:lpstr>Electricity_Transmission</vt:lpstr>
      <vt:lpstr>Cross-cheking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2022-09-28T15:25:36Z</dcterms:modified>
</cp:coreProperties>
</file>