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leidenuniv1-my.sharepoint.com/personal/istrateir_vuw_leidenuniv_nl/Documents/Research/lithium-prospective-scenarios/scenario_data/raw/IEA electricity scenarios/"/>
    </mc:Choice>
  </mc:AlternateContent>
  <xr:revisionPtr revIDLastSave="673" documentId="13_ncr:1_{108ACCC4-C9EB-491B-BAFF-BDC5E9F0A836}" xr6:coauthVersionLast="47" xr6:coauthVersionMax="47" xr10:uidLastSave="{7F2F85AF-DC8B-4C73-93DF-FC716D9C058B}"/>
  <bookViews>
    <workbookView xWindow="-28920" yWindow="-120" windowWidth="29040" windowHeight="15720" xr2:uid="{00000000-000D-0000-FFFF-FFFF00000000}"/>
  </bookViews>
  <sheets>
    <sheet name="Chile" sheetId="1" r:id="rId1"/>
    <sheet name="Argentina" sheetId="4" r:id="rId2"/>
    <sheet name="scenario 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4" l="1"/>
  <c r="J18" i="4"/>
  <c r="J17" i="4"/>
  <c r="I27" i="4"/>
  <c r="I18" i="4"/>
  <c r="I19" i="4" s="1"/>
  <c r="I20" i="4" s="1"/>
  <c r="I17" i="4"/>
  <c r="H27" i="4"/>
  <c r="H18" i="4"/>
  <c r="H17" i="4"/>
  <c r="G18" i="4"/>
  <c r="G17" i="4"/>
  <c r="F19" i="4"/>
  <c r="F27" i="4"/>
  <c r="F16" i="4"/>
  <c r="J13" i="4"/>
  <c r="J4" i="4"/>
  <c r="J3" i="4"/>
  <c r="I13" i="4"/>
  <c r="I4" i="4"/>
  <c r="I3" i="4"/>
  <c r="H13" i="4"/>
  <c r="H4" i="4"/>
  <c r="H3" i="4"/>
  <c r="G4" i="4"/>
  <c r="G3" i="4"/>
  <c r="F4" i="4"/>
  <c r="F18" i="4" s="1"/>
  <c r="F3" i="4"/>
  <c r="I19" i="1"/>
  <c r="I18" i="1"/>
  <c r="I16" i="1"/>
  <c r="H19" i="1"/>
  <c r="H14" i="1"/>
  <c r="H13" i="1"/>
  <c r="G14" i="1"/>
  <c r="G13" i="1"/>
  <c r="F19" i="1"/>
  <c r="F12" i="1"/>
  <c r="I9" i="1"/>
  <c r="I8" i="1"/>
  <c r="I4" i="1"/>
  <c r="I3" i="1"/>
  <c r="G4" i="1"/>
  <c r="G3" i="1"/>
  <c r="F4" i="1"/>
  <c r="F14" i="1" s="1"/>
  <c r="F3" i="1"/>
  <c r="F13" i="1" s="1"/>
  <c r="J19" i="1"/>
  <c r="J18" i="1"/>
  <c r="J16" i="1"/>
  <c r="J9" i="1"/>
  <c r="J8" i="1"/>
  <c r="J4" i="1"/>
  <c r="J3" i="1"/>
  <c r="H3" i="1"/>
  <c r="H8" i="1"/>
  <c r="H4" i="1"/>
  <c r="H19" i="4" l="1"/>
  <c r="H20" i="4" s="1"/>
  <c r="H5" i="4"/>
  <c r="H6" i="4" s="1"/>
  <c r="H11" i="4" s="1"/>
  <c r="G6" i="4"/>
  <c r="G10" i="4" s="1"/>
  <c r="I23" i="4"/>
  <c r="I24" i="4"/>
  <c r="I25" i="4"/>
  <c r="F17" i="4"/>
  <c r="I21" i="4"/>
  <c r="G20" i="4"/>
  <c r="I22" i="4"/>
  <c r="J19" i="4"/>
  <c r="J5" i="4"/>
  <c r="I5" i="4"/>
  <c r="F6" i="4"/>
  <c r="I17" i="1"/>
  <c r="H33" i="1" s="1"/>
  <c r="H15" i="1"/>
  <c r="H16" i="1" s="1"/>
  <c r="G15" i="1"/>
  <c r="I5" i="1"/>
  <c r="I6" i="1" s="1"/>
  <c r="I7" i="1" s="1"/>
  <c r="G5" i="1"/>
  <c r="G6" i="1" s="1"/>
  <c r="G7" i="1" s="1"/>
  <c r="F5" i="1"/>
  <c r="J17" i="1"/>
  <c r="J20" i="1" s="1"/>
  <c r="J5" i="1"/>
  <c r="H5" i="1"/>
  <c r="G11" i="4" l="1"/>
  <c r="H34" i="1"/>
  <c r="H23" i="4"/>
  <c r="H22" i="4"/>
  <c r="I26" i="4"/>
  <c r="H46" i="4"/>
  <c r="J20" i="4"/>
  <c r="G21" i="4"/>
  <c r="G24" i="4"/>
  <c r="H25" i="4"/>
  <c r="G9" i="4"/>
  <c r="G7" i="4"/>
  <c r="G23" i="4"/>
  <c r="G8" i="4"/>
  <c r="I6" i="4"/>
  <c r="I7" i="4" s="1"/>
  <c r="J6" i="4"/>
  <c r="J8" i="4" s="1"/>
  <c r="F10" i="4"/>
  <c r="F24" i="4" s="1"/>
  <c r="F20" i="4"/>
  <c r="H24" i="4"/>
  <c r="G25" i="4"/>
  <c r="G22" i="4"/>
  <c r="H21" i="4"/>
  <c r="H35" i="1"/>
  <c r="H32" i="1"/>
  <c r="I32" i="1"/>
  <c r="H24" i="1"/>
  <c r="I10" i="1"/>
  <c r="I28" i="4"/>
  <c r="F7" i="4"/>
  <c r="H10" i="4"/>
  <c r="H8" i="4"/>
  <c r="J10" i="4"/>
  <c r="J11" i="4"/>
  <c r="F8" i="4"/>
  <c r="F22" i="4" s="1"/>
  <c r="H7" i="4"/>
  <c r="H9" i="4"/>
  <c r="F11" i="4"/>
  <c r="F25" i="4" s="1"/>
  <c r="F9" i="4"/>
  <c r="H18" i="1"/>
  <c r="F15" i="1"/>
  <c r="H37" i="1"/>
  <c r="G16" i="1"/>
  <c r="I20" i="1"/>
  <c r="H17" i="1"/>
  <c r="H31" i="1"/>
  <c r="H36" i="1"/>
  <c r="G8" i="1"/>
  <c r="G10" i="1" s="1"/>
  <c r="H27" i="1"/>
  <c r="H26" i="1"/>
  <c r="H23" i="1"/>
  <c r="H29" i="1"/>
  <c r="H28" i="1"/>
  <c r="H25" i="1"/>
  <c r="F6" i="1"/>
  <c r="I34" i="1"/>
  <c r="I33" i="1"/>
  <c r="I31" i="1"/>
  <c r="I35" i="1"/>
  <c r="I37" i="1"/>
  <c r="I36" i="1"/>
  <c r="H6" i="1"/>
  <c r="J6" i="1"/>
  <c r="H41" i="4" l="1"/>
  <c r="H45" i="4"/>
  <c r="H40" i="4"/>
  <c r="H44" i="4"/>
  <c r="H43" i="4"/>
  <c r="G44" i="4"/>
  <c r="J24" i="4"/>
  <c r="G32" i="1"/>
  <c r="J25" i="4"/>
  <c r="H42" i="4"/>
  <c r="J22" i="4"/>
  <c r="J21" i="4"/>
  <c r="I9" i="4"/>
  <c r="J23" i="4"/>
  <c r="I11" i="4"/>
  <c r="F21" i="4"/>
  <c r="G12" i="4"/>
  <c r="F37" i="4" s="1"/>
  <c r="J9" i="4"/>
  <c r="J7" i="4"/>
  <c r="F12" i="4"/>
  <c r="F23" i="4"/>
  <c r="I10" i="4"/>
  <c r="H26" i="4"/>
  <c r="G26" i="4"/>
  <c r="I8" i="4"/>
  <c r="F24" i="1"/>
  <c r="H12" i="4"/>
  <c r="G33" i="4" s="1"/>
  <c r="G17" i="1"/>
  <c r="F7" i="1"/>
  <c r="F17" i="1" s="1"/>
  <c r="F16" i="1"/>
  <c r="F8" i="1"/>
  <c r="H20" i="1"/>
  <c r="J7" i="1"/>
  <c r="J10" i="1" s="1"/>
  <c r="H7" i="1"/>
  <c r="H10" i="1" s="1"/>
  <c r="G41" i="4" l="1"/>
  <c r="G45" i="4"/>
  <c r="G43" i="4"/>
  <c r="F33" i="4"/>
  <c r="F35" i="4"/>
  <c r="G14" i="4"/>
  <c r="G46" i="4"/>
  <c r="G42" i="4"/>
  <c r="E35" i="4"/>
  <c r="G40" i="4"/>
  <c r="F14" i="4"/>
  <c r="E33" i="4"/>
  <c r="J26" i="4"/>
  <c r="I44" i="4" s="1"/>
  <c r="F34" i="4"/>
  <c r="F26" i="4"/>
  <c r="E37" i="4"/>
  <c r="F36" i="4"/>
  <c r="J12" i="4"/>
  <c r="I36" i="4" s="1"/>
  <c r="E32" i="4"/>
  <c r="F38" i="4"/>
  <c r="I12" i="4"/>
  <c r="H36" i="4" s="1"/>
  <c r="E38" i="4"/>
  <c r="G34" i="4"/>
  <c r="G37" i="4"/>
  <c r="G35" i="4"/>
  <c r="G38" i="4"/>
  <c r="E36" i="4"/>
  <c r="G36" i="4"/>
  <c r="H28" i="4"/>
  <c r="G27" i="4"/>
  <c r="E34" i="4"/>
  <c r="H33" i="4"/>
  <c r="G24" i="1"/>
  <c r="E24" i="1"/>
  <c r="I24" i="1"/>
  <c r="F32" i="4"/>
  <c r="G18" i="1"/>
  <c r="F10" i="1"/>
  <c r="E28" i="1"/>
  <c r="F18" i="1"/>
  <c r="E33" i="1" s="1"/>
  <c r="E27" i="1"/>
  <c r="E25" i="1"/>
  <c r="E29" i="1"/>
  <c r="E26" i="1"/>
  <c r="E23" i="1"/>
  <c r="F27" i="1"/>
  <c r="I26" i="1"/>
  <c r="I23" i="1"/>
  <c r="I29" i="1"/>
  <c r="I27" i="1"/>
  <c r="I25" i="1"/>
  <c r="I28" i="1"/>
  <c r="E41" i="4" l="1"/>
  <c r="E45" i="4"/>
  <c r="F40" i="4"/>
  <c r="F43" i="4"/>
  <c r="E44" i="4"/>
  <c r="I46" i="4"/>
  <c r="I45" i="4"/>
  <c r="F45" i="4"/>
  <c r="E43" i="4"/>
  <c r="I43" i="4"/>
  <c r="F44" i="4"/>
  <c r="I32" i="4"/>
  <c r="H35" i="4"/>
  <c r="E46" i="4"/>
  <c r="F42" i="4"/>
  <c r="I42" i="4"/>
  <c r="I14" i="4"/>
  <c r="I41" i="4"/>
  <c r="J28" i="4"/>
  <c r="I40" i="4"/>
  <c r="F46" i="4"/>
  <c r="F41" i="4"/>
  <c r="E42" i="4"/>
  <c r="E40" i="4"/>
  <c r="I35" i="4"/>
  <c r="I34" i="4"/>
  <c r="H37" i="4"/>
  <c r="H38" i="4"/>
  <c r="H32" i="4"/>
  <c r="F28" i="4"/>
  <c r="H34" i="4"/>
  <c r="J14" i="4"/>
  <c r="I33" i="4"/>
  <c r="I37" i="4"/>
  <c r="I38" i="4"/>
  <c r="G28" i="4"/>
  <c r="F34" i="1"/>
  <c r="F32" i="1"/>
  <c r="E32" i="1"/>
  <c r="E35" i="1"/>
  <c r="F36" i="1"/>
  <c r="F37" i="1"/>
  <c r="F31" i="1"/>
  <c r="F33" i="1"/>
  <c r="G20" i="1"/>
  <c r="E36" i="1"/>
  <c r="F20" i="1"/>
  <c r="E37" i="1"/>
  <c r="E31" i="1"/>
  <c r="F35" i="1"/>
  <c r="E34" i="1"/>
  <c r="F23" i="1"/>
  <c r="F28" i="1"/>
  <c r="F29" i="1"/>
  <c r="F25" i="1"/>
  <c r="F26" i="1"/>
  <c r="G25" i="1" l="1"/>
  <c r="G29" i="1"/>
  <c r="G26" i="1"/>
  <c r="G28" i="1"/>
  <c r="G23" i="1"/>
  <c r="G27" i="1"/>
  <c r="G35" i="1" l="1"/>
  <c r="G33" i="1"/>
  <c r="G36" i="1"/>
  <c r="G37" i="1"/>
  <c r="G31" i="1"/>
  <c r="G34" i="1"/>
  <c r="G32" i="4" l="1"/>
  <c r="H14" i="4"/>
</calcChain>
</file>

<file path=xl/sharedStrings.xml><?xml version="1.0" encoding="utf-8"?>
<sst xmlns="http://schemas.openxmlformats.org/spreadsheetml/2006/main" count="514" uniqueCount="55">
  <si>
    <t>STEPS</t>
  </si>
  <si>
    <t>Coal</t>
  </si>
  <si>
    <t>Natural gas</t>
  </si>
  <si>
    <t>Bioenergy</t>
  </si>
  <si>
    <t>Nuclear</t>
  </si>
  <si>
    <t>Hydro</t>
  </si>
  <si>
    <t>Wind</t>
  </si>
  <si>
    <t>Solar PV</t>
  </si>
  <si>
    <t>Other</t>
  </si>
  <si>
    <t>APS</t>
  </si>
  <si>
    <t>scenario</t>
  </si>
  <si>
    <t>region</t>
  </si>
  <si>
    <t>CL</t>
  </si>
  <si>
    <t>variables</t>
  </si>
  <si>
    <t>TWh/year</t>
  </si>
  <si>
    <t>Hard coal</t>
  </si>
  <si>
    <t>Production|Electricity|Coal</t>
  </si>
  <si>
    <t>Production|Electricity|Natural gas combined cycle</t>
  </si>
  <si>
    <t>Production|Electricity|Natural gas conventional</t>
  </si>
  <si>
    <t>Assumed 62% of natural gas production, based on electricity mix in ecoinvent v3.10</t>
  </si>
  <si>
    <t>Assumed 38% of natural gas production, based on electricity mix in ecoinvent v3.10</t>
  </si>
  <si>
    <t>Production|Electricity|Hydro run-of-river</t>
  </si>
  <si>
    <t>Production|Electricity|Wind onshore</t>
  </si>
  <si>
    <t>Production|Electricity|Solar PV</t>
  </si>
  <si>
    <t>Production|Electricity|Bioenergy</t>
  </si>
  <si>
    <t>technology IEA</t>
  </si>
  <si>
    <t>units</t>
  </si>
  <si>
    <t>Production|Electricity|Other</t>
  </si>
  <si>
    <t>AR</t>
  </si>
  <si>
    <t>Assumed 79% of natural gas production, based on electricity mix in ecoinvent v3.10</t>
  </si>
  <si>
    <t>Assumed 21% of natural gas production, based on electricity mix in ecoinvent v3.10</t>
  </si>
  <si>
    <t>Production|Electricity|Nuclear PWR</t>
  </si>
  <si>
    <t>Production|Electricity|Hydro storage</t>
  </si>
  <si>
    <t>Production|Electricity|Hydro reservoir alpine</t>
  </si>
  <si>
    <t>Production|Electricity|Hydro reservoir non-alpine</t>
  </si>
  <si>
    <t>Production|Electricity|Hydro reservoir tropical</t>
  </si>
  <si>
    <t>Assumed 2% of hydro production, based on electricity mix in ecoinvent v3.10</t>
  </si>
  <si>
    <t>Assumed 25% of hydro production, based on electricity mix in ecoinvent v3.10</t>
  </si>
  <si>
    <t>Assumed 24% of hydro production, based on electricity mix in ecoinvent v3.10</t>
  </si>
  <si>
    <t>Assumed 45% of hydro production, based on electricity mix in ecoinvent v3.10</t>
  </si>
  <si>
    <t>Summary for figure</t>
  </si>
  <si>
    <t>Tech</t>
  </si>
  <si>
    <t>PV</t>
  </si>
  <si>
    <t>technology</t>
  </si>
  <si>
    <t>Natural gas | NGCC</t>
  </si>
  <si>
    <t>Natural gas | NG</t>
  </si>
  <si>
    <t>Hydro | Pumped storage</t>
  </si>
  <si>
    <t>Hydro | Reservoir, alpine</t>
  </si>
  <si>
    <t>Hydro | Reservoir, non-alpine</t>
  </si>
  <si>
    <t>Hydro | Reservoir, tropical</t>
  </si>
  <si>
    <t>Hydro | Run-of-river</t>
  </si>
  <si>
    <t>Discarded in scenario data</t>
  </si>
  <si>
    <t>unit</t>
  </si>
  <si>
    <t>Production|Electricity|Medium to high</t>
  </si>
  <si>
    <t>Production|Electricity|Low to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</si>
</sst>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9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9" fontId="0" fillId="0" borderId="0" xfId="0" applyNumberFormat="1"/>
    <xf numFmtId="0" fontId="4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Chile -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Chile!$D$23</c:f>
              <c:strCache>
                <c:ptCount val="1"/>
                <c:pt idx="0">
                  <c:v>Hard coal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Chile!$E$23:$I$23</c:f>
              <c:numCache>
                <c:formatCode>0%</c:formatCode>
                <c:ptCount val="5"/>
                <c:pt idx="0">
                  <c:v>0.32100272608747182</c:v>
                </c:pt>
                <c:pt idx="1">
                  <c:v>0.12224000000000002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5-49AF-A451-69AC793B62CD}"/>
            </c:ext>
          </c:extLst>
        </c:ser>
        <c:ser>
          <c:idx val="1"/>
          <c:order val="1"/>
          <c:tx>
            <c:strRef>
              <c:f>Chile!$D$24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Chile!$E$24:$I$24</c:f>
              <c:numCache>
                <c:formatCode>0%</c:formatCode>
                <c:ptCount val="5"/>
                <c:pt idx="0">
                  <c:v>0.18521986488088185</c:v>
                </c:pt>
                <c:pt idx="1">
                  <c:v>0.14442666666666665</c:v>
                </c:pt>
                <c:pt idx="2">
                  <c:v>0.14142384459387342</c:v>
                </c:pt>
                <c:pt idx="3">
                  <c:v>0.12558380902957963</c:v>
                </c:pt>
                <c:pt idx="4">
                  <c:v>0.12029238836802798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5-49AF-A451-69AC793B62CD}"/>
            </c:ext>
          </c:extLst>
        </c:ser>
        <c:ser>
          <c:idx val="2"/>
          <c:order val="2"/>
          <c:tx>
            <c:strRef>
              <c:f>Chile!$D$25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Chile!$E$25:$I$25</c:f>
              <c:numCache>
                <c:formatCode>0%</c:formatCode>
                <c:ptCount val="5"/>
                <c:pt idx="0">
                  <c:v>6.1751807514519384E-2</c:v>
                </c:pt>
                <c:pt idx="1">
                  <c:v>7.7759999999999996E-2</c:v>
                </c:pt>
                <c:pt idx="2">
                  <c:v>0.10107802326822499</c:v>
                </c:pt>
                <c:pt idx="3">
                  <c:v>8.1646773914547652E-2</c:v>
                </c:pt>
                <c:pt idx="4">
                  <c:v>6.0225647544891139E-2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5-49AF-A451-69AC793B62CD}"/>
            </c:ext>
          </c:extLst>
        </c:ser>
        <c:ser>
          <c:idx val="3"/>
          <c:order val="3"/>
          <c:tx>
            <c:strRef>
              <c:f>Chile!$D$26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Chile!$E$26:$I$26</c:f>
              <c:numCache>
                <c:formatCode>0%</c:formatCode>
                <c:ptCount val="5"/>
                <c:pt idx="0">
                  <c:v>0.25921536091027619</c:v>
                </c:pt>
                <c:pt idx="1">
                  <c:v>0.26666666666666666</c:v>
                </c:pt>
                <c:pt idx="2">
                  <c:v>0.26256804354787067</c:v>
                </c:pt>
                <c:pt idx="3">
                  <c:v>0.19814910915066591</c:v>
                </c:pt>
                <c:pt idx="4">
                  <c:v>0.18790719847449547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5-49AF-A451-69AC793B62CD}"/>
            </c:ext>
          </c:extLst>
        </c:ser>
        <c:ser>
          <c:idx val="4"/>
          <c:order val="4"/>
          <c:tx>
            <c:strRef>
              <c:f>Chile!$D$27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Chile!$E$27:$I$27</c:f>
              <c:numCache>
                <c:formatCode>0%</c:formatCode>
                <c:ptCount val="5"/>
                <c:pt idx="0">
                  <c:v>6.1751807514519301E-2</c:v>
                </c:pt>
                <c:pt idx="1">
                  <c:v>0.21130666666666661</c:v>
                </c:pt>
                <c:pt idx="2">
                  <c:v>0.31316042267050909</c:v>
                </c:pt>
                <c:pt idx="3">
                  <c:v>0.36939975782736545</c:v>
                </c:pt>
                <c:pt idx="4">
                  <c:v>0.36842523438741459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5-49AF-A451-69AC793B62CD}"/>
            </c:ext>
          </c:extLst>
        </c:ser>
        <c:ser>
          <c:idx val="5"/>
          <c:order val="5"/>
          <c:tx>
            <c:strRef>
              <c:f>Chile!$D$28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Chile!$E$28:$I$28</c:f>
              <c:numCache>
                <c:formatCode>0%</c:formatCode>
                <c:ptCount val="5"/>
                <c:pt idx="0">
                  <c:v>0.11105843309233145</c:v>
                </c:pt>
                <c:pt idx="1">
                  <c:v>0.17760000000000006</c:v>
                </c:pt>
                <c:pt idx="2">
                  <c:v>0.18176966591952184</c:v>
                </c:pt>
                <c:pt idx="3">
                  <c:v>0.16216917488323818</c:v>
                </c:pt>
                <c:pt idx="4">
                  <c:v>0.1428571428571429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5-49AF-A451-69AC793B62CD}"/>
            </c:ext>
          </c:extLst>
        </c:ser>
        <c:ser>
          <c:idx val="6"/>
          <c:order val="6"/>
          <c:tx>
            <c:strRef>
              <c:f>Chile!$D$29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Chile!$E$29:$I$29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6.3051375194603174E-2</c:v>
                </c:pt>
                <c:pt idx="4">
                  <c:v>0.12029238836802787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35-49AF-A451-69AC793B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65456"/>
        <c:axId val="320567856"/>
      </c:areaChart>
      <c:catAx>
        <c:axId val="32056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7856"/>
        <c:crosses val="autoZero"/>
        <c:auto val="1"/>
        <c:lblAlgn val="ctr"/>
        <c:lblOffset val="100"/>
        <c:noMultiLvlLbl val="0"/>
      </c:catAx>
      <c:valAx>
        <c:axId val="32056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Chile - 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Chile!$D$31</c:f>
              <c:strCache>
                <c:ptCount val="1"/>
                <c:pt idx="0">
                  <c:v>Hard coal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Chile!$E$31:$I$31</c:f>
              <c:numCache>
                <c:formatCode>0%</c:formatCode>
                <c:ptCount val="5"/>
                <c:pt idx="0">
                  <c:v>0.32100272608747182</c:v>
                </c:pt>
                <c:pt idx="1">
                  <c:v>6.5934065934065977E-2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F-409E-9960-5471FD879DA7}"/>
            </c:ext>
          </c:extLst>
        </c:ser>
        <c:ser>
          <c:idx val="1"/>
          <c:order val="1"/>
          <c:tx>
            <c:strRef>
              <c:f>Chile!$D$32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Chile!$E$32:$I$32</c:f>
              <c:numCache>
                <c:formatCode>0%</c:formatCode>
                <c:ptCount val="5"/>
                <c:pt idx="0">
                  <c:v>0.18521986488088185</c:v>
                </c:pt>
                <c:pt idx="1">
                  <c:v>0.15384615384615394</c:v>
                </c:pt>
                <c:pt idx="2">
                  <c:v>6.7796610169491942E-2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F-409E-9960-5471FD879DA7}"/>
            </c:ext>
          </c:extLst>
        </c:ser>
        <c:ser>
          <c:idx val="2"/>
          <c:order val="2"/>
          <c:tx>
            <c:strRef>
              <c:f>Chile!$D$33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Chile!$E$33:$I$33</c:f>
              <c:numCache>
                <c:formatCode>0%</c:formatCode>
                <c:ptCount val="5"/>
                <c:pt idx="0">
                  <c:v>6.1751807514519384E-2</c:v>
                </c:pt>
                <c:pt idx="1">
                  <c:v>6.5934065934065658E-2</c:v>
                </c:pt>
                <c:pt idx="2">
                  <c:v>6.7796610169491317E-2</c:v>
                </c:pt>
                <c:pt idx="3">
                  <c:v>7.913669064748205E-2</c:v>
                </c:pt>
                <c:pt idx="4">
                  <c:v>7.6898817345597906E-2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F-409E-9960-5471FD879DA7}"/>
            </c:ext>
          </c:extLst>
        </c:ser>
        <c:ser>
          <c:idx val="3"/>
          <c:order val="3"/>
          <c:tx>
            <c:strRef>
              <c:f>Chile!$D$34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Chile!$E$34:$I$34</c:f>
              <c:numCache>
                <c:formatCode>0%</c:formatCode>
                <c:ptCount val="5"/>
                <c:pt idx="0">
                  <c:v>0.25921536091027619</c:v>
                </c:pt>
                <c:pt idx="1">
                  <c:v>0.23076923076923084</c:v>
                </c:pt>
                <c:pt idx="2">
                  <c:v>0.19491525423729</c:v>
                </c:pt>
                <c:pt idx="3">
                  <c:v>0.20143884892086475</c:v>
                </c:pt>
                <c:pt idx="4">
                  <c:v>0.17014454664914586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F-409E-9960-5471FD879DA7}"/>
            </c:ext>
          </c:extLst>
        </c:ser>
        <c:ser>
          <c:idx val="4"/>
          <c:order val="4"/>
          <c:tx>
            <c:strRef>
              <c:f>Chile!$D$35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Chile!$E$35:$I$35</c:f>
              <c:numCache>
                <c:formatCode>0%</c:formatCode>
                <c:ptCount val="5"/>
                <c:pt idx="0">
                  <c:v>6.1751807514519301E-2</c:v>
                </c:pt>
                <c:pt idx="1">
                  <c:v>0.21978021978021992</c:v>
                </c:pt>
                <c:pt idx="2">
                  <c:v>0.32203389830508605</c:v>
                </c:pt>
                <c:pt idx="3">
                  <c:v>0.32374100719424609</c:v>
                </c:pt>
                <c:pt idx="4">
                  <c:v>0.32436268068331142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F-409E-9960-5471FD879DA7}"/>
            </c:ext>
          </c:extLst>
        </c:ser>
        <c:ser>
          <c:idx val="5"/>
          <c:order val="5"/>
          <c:tx>
            <c:strRef>
              <c:f>Chile!$D$36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Chile!$E$36:$I$36</c:f>
              <c:numCache>
                <c:formatCode>0%</c:formatCode>
                <c:ptCount val="5"/>
                <c:pt idx="0">
                  <c:v>0.11105843309233145</c:v>
                </c:pt>
                <c:pt idx="1">
                  <c:v>0.26373626373626363</c:v>
                </c:pt>
                <c:pt idx="2">
                  <c:v>0.26271186440677624</c:v>
                </c:pt>
                <c:pt idx="3">
                  <c:v>0.26618705035971041</c:v>
                </c:pt>
                <c:pt idx="4">
                  <c:v>0.26375821287779244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3F-409E-9960-5471FD879DA7}"/>
            </c:ext>
          </c:extLst>
        </c:ser>
        <c:ser>
          <c:idx val="6"/>
          <c:order val="6"/>
          <c:tx>
            <c:strRef>
              <c:f>Chile!$D$37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numRef>
              <c:f>Chile!$E$22:$I$22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Chile!$E$37:$I$37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8.474576271186457E-2</c:v>
                </c:pt>
                <c:pt idx="3">
                  <c:v>0.12949640287769665</c:v>
                </c:pt>
                <c:pt idx="4">
                  <c:v>0.1648357424441525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3F-409E-9960-5471FD87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65456"/>
        <c:axId val="320567856"/>
      </c:areaChart>
      <c:catAx>
        <c:axId val="32056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7856"/>
        <c:crosses val="autoZero"/>
        <c:auto val="1"/>
        <c:lblAlgn val="ctr"/>
        <c:lblOffset val="100"/>
        <c:noMultiLvlLbl val="0"/>
      </c:catAx>
      <c:valAx>
        <c:axId val="32056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-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Argentina!$D$32</c:f>
              <c:strCache>
                <c:ptCount val="1"/>
                <c:pt idx="0">
                  <c:v>Hard coal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Argentina!$E$32:$I$32</c:f>
              <c:numCache>
                <c:formatCode>0%</c:formatCode>
                <c:ptCount val="5"/>
                <c:pt idx="0">
                  <c:v>4.6511627906976806E-2</c:v>
                </c:pt>
                <c:pt idx="1">
                  <c:v>6.5217391304347963E-2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6-4073-974A-0F8A4D7DB5CD}"/>
            </c:ext>
          </c:extLst>
        </c:ser>
        <c:ser>
          <c:idx val="2"/>
          <c:order val="1"/>
          <c:tx>
            <c:strRef>
              <c:f>Argentina!$D$33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Argentina!$E$33:$I$33</c:f>
              <c:numCache>
                <c:formatCode>0%</c:formatCode>
                <c:ptCount val="5"/>
                <c:pt idx="0">
                  <c:v>0.58139534883721067</c:v>
                </c:pt>
                <c:pt idx="1">
                  <c:v>0.47826086956521818</c:v>
                </c:pt>
                <c:pt idx="2">
                  <c:v>0.41904761904761884</c:v>
                </c:pt>
                <c:pt idx="3">
                  <c:v>0.32173913043478336</c:v>
                </c:pt>
                <c:pt idx="4">
                  <c:v>0.2319999999999991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B6-4073-974A-0F8A4D7DB5CD}"/>
            </c:ext>
          </c:extLst>
        </c:ser>
        <c:ser>
          <c:idx val="3"/>
          <c:order val="2"/>
          <c:tx>
            <c:strRef>
              <c:f>Argentina!$D$34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Argentina!$E$34:$I$34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5.7142857142857141E-2</c:v>
                </c:pt>
                <c:pt idx="3">
                  <c:v>3.4782608695652466E-2</c:v>
                </c:pt>
                <c:pt idx="4">
                  <c:v>4.7999999999999848E-2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6-4073-974A-0F8A4D7DB5CD}"/>
            </c:ext>
          </c:extLst>
        </c:ser>
        <c:ser>
          <c:idx val="4"/>
          <c:order val="3"/>
          <c:tx>
            <c:strRef>
              <c:f>Argentina!$D$35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Argentina!$E$35:$I$35</c:f>
              <c:numCache>
                <c:formatCode>0%</c:formatCode>
                <c:ptCount val="5"/>
                <c:pt idx="0">
                  <c:v>9.3023255813951392E-2</c:v>
                </c:pt>
                <c:pt idx="1">
                  <c:v>6.5217391304347963E-2</c:v>
                </c:pt>
                <c:pt idx="2">
                  <c:v>7.6190476190476003E-2</c:v>
                </c:pt>
                <c:pt idx="3">
                  <c:v>0.13913043478260936</c:v>
                </c:pt>
                <c:pt idx="4">
                  <c:v>0.14399999999999955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B6-4073-974A-0F8A4D7DB5CD}"/>
            </c:ext>
          </c:extLst>
        </c:ser>
        <c:ser>
          <c:idx val="5"/>
          <c:order val="4"/>
          <c:tx>
            <c:strRef>
              <c:f>Argentina!$D$36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Argentina!$E$36:$I$36</c:f>
              <c:numCache>
                <c:formatCode>0%</c:formatCode>
                <c:ptCount val="5"/>
                <c:pt idx="0">
                  <c:v>0.19372093023255632</c:v>
                </c:pt>
                <c:pt idx="1">
                  <c:v>0.25565217391304212</c:v>
                </c:pt>
                <c:pt idx="2">
                  <c:v>0.25199999999999673</c:v>
                </c:pt>
                <c:pt idx="3">
                  <c:v>0.25565217391304434</c:v>
                </c:pt>
                <c:pt idx="4">
                  <c:v>0.25871999999999779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B6-4073-974A-0F8A4D7DB5CD}"/>
            </c:ext>
          </c:extLst>
        </c:ser>
        <c:ser>
          <c:idx val="6"/>
          <c:order val="5"/>
          <c:tx>
            <c:strRef>
              <c:f>Argentina!$D$37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Argentina!$E$37:$I$37</c:f>
              <c:numCache>
                <c:formatCode>0%</c:formatCode>
                <c:ptCount val="5"/>
                <c:pt idx="0">
                  <c:v>8.5348837209304612E-2</c:v>
                </c:pt>
                <c:pt idx="1">
                  <c:v>0.13565217391304385</c:v>
                </c:pt>
                <c:pt idx="2">
                  <c:v>0.13847619047619431</c:v>
                </c:pt>
                <c:pt idx="3">
                  <c:v>0.15304347826086837</c:v>
                </c:pt>
                <c:pt idx="4">
                  <c:v>0.20528000000000091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B6-4073-974A-0F8A4D7DB5CD}"/>
            </c:ext>
          </c:extLst>
        </c:ser>
        <c:ser>
          <c:idx val="7"/>
          <c:order val="6"/>
          <c:tx>
            <c:strRef>
              <c:f>Argentina!$D$38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Argentina!$E$38:$I$38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5.7142857142857141E-2</c:v>
                </c:pt>
                <c:pt idx="3">
                  <c:v>9.565217391304208E-2</c:v>
                </c:pt>
                <c:pt idx="4">
                  <c:v>0.11200000000000283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B6-4073-974A-0F8A4D7D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65456"/>
        <c:axId val="320567856"/>
      </c:areaChart>
      <c:catAx>
        <c:axId val="32056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7856"/>
        <c:crosses val="autoZero"/>
        <c:auto val="1"/>
        <c:lblAlgn val="ctr"/>
        <c:lblOffset val="100"/>
        <c:noMultiLvlLbl val="0"/>
      </c:catAx>
      <c:valAx>
        <c:axId val="32056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- 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Argentina!$D$40</c:f>
              <c:strCache>
                <c:ptCount val="1"/>
                <c:pt idx="0">
                  <c:v>Hard coal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Argentina!$E$40:$I$40</c:f>
              <c:numCache>
                <c:formatCode>0%</c:formatCode>
                <c:ptCount val="5"/>
                <c:pt idx="0">
                  <c:v>4.6511627906976806E-2</c:v>
                </c:pt>
                <c:pt idx="1">
                  <c:v>7.0707070707070635E-2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9-460C-8301-AE71E8063554}"/>
            </c:ext>
          </c:extLst>
        </c:ser>
        <c:ser>
          <c:idx val="2"/>
          <c:order val="1"/>
          <c:tx>
            <c:strRef>
              <c:f>Argentina!$D$41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Argentina!$E$41:$I$41</c:f>
              <c:numCache>
                <c:formatCode>0%</c:formatCode>
                <c:ptCount val="5"/>
                <c:pt idx="0">
                  <c:v>0.58139534883721067</c:v>
                </c:pt>
                <c:pt idx="1">
                  <c:v>0.46464646464646681</c:v>
                </c:pt>
                <c:pt idx="2">
                  <c:v>0.42857142857142944</c:v>
                </c:pt>
                <c:pt idx="3">
                  <c:v>0.31851851851851981</c:v>
                </c:pt>
                <c:pt idx="4">
                  <c:v>0.20710059171597653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9-460C-8301-AE71E8063554}"/>
            </c:ext>
          </c:extLst>
        </c:ser>
        <c:ser>
          <c:idx val="3"/>
          <c:order val="2"/>
          <c:tx>
            <c:strRef>
              <c:f>Argentina!$D$42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Argentina!$E$42:$I$42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3.571428571428583E-2</c:v>
                </c:pt>
                <c:pt idx="3">
                  <c:v>3.7037037037036931E-2</c:v>
                </c:pt>
                <c:pt idx="4">
                  <c:v>4.7337278106508861E-2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9-460C-8301-AE71E8063554}"/>
            </c:ext>
          </c:extLst>
        </c:ser>
        <c:ser>
          <c:idx val="4"/>
          <c:order val="3"/>
          <c:tx>
            <c:strRef>
              <c:f>Argentina!$D$43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Argentina!$E$43:$I$43</c:f>
              <c:numCache>
                <c:formatCode>0%</c:formatCode>
                <c:ptCount val="5"/>
                <c:pt idx="0">
                  <c:v>9.3023255813951392E-2</c:v>
                </c:pt>
                <c:pt idx="1">
                  <c:v>8.0808080808081093E-2</c:v>
                </c:pt>
                <c:pt idx="2">
                  <c:v>8.0357142857143266E-2</c:v>
                </c:pt>
                <c:pt idx="3">
                  <c:v>0.12592592592592525</c:v>
                </c:pt>
                <c:pt idx="4">
                  <c:v>0.13017751479289835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9-460C-8301-AE71E8063554}"/>
            </c:ext>
          </c:extLst>
        </c:ser>
        <c:ser>
          <c:idx val="5"/>
          <c:order val="4"/>
          <c:tx>
            <c:strRef>
              <c:f>Argentina!$D$44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Argentina!$E$44:$I$44</c:f>
              <c:numCache>
                <c:formatCode>0%</c:formatCode>
                <c:ptCount val="5"/>
                <c:pt idx="0">
                  <c:v>0.19372093023255632</c:v>
                </c:pt>
                <c:pt idx="1">
                  <c:v>0.22767676767676337</c:v>
                </c:pt>
                <c:pt idx="2">
                  <c:v>0.23624999999999705</c:v>
                </c:pt>
                <c:pt idx="3">
                  <c:v>0.23229629629629525</c:v>
                </c:pt>
                <c:pt idx="4">
                  <c:v>0.23195266272189355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9-460C-8301-AE71E8063554}"/>
            </c:ext>
          </c:extLst>
        </c:ser>
        <c:ser>
          <c:idx val="6"/>
          <c:order val="5"/>
          <c:tx>
            <c:strRef>
              <c:f>Argentina!$D$45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002060"/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Argentina!$E$45:$I$45</c:f>
              <c:numCache>
                <c:formatCode>0%</c:formatCode>
                <c:ptCount val="5"/>
                <c:pt idx="0">
                  <c:v>8.5348837209304612E-2</c:v>
                </c:pt>
                <c:pt idx="1">
                  <c:v>0.11575757575757636</c:v>
                </c:pt>
                <c:pt idx="2">
                  <c:v>0.15660714285714519</c:v>
                </c:pt>
                <c:pt idx="3">
                  <c:v>0.16770370370370477</c:v>
                </c:pt>
                <c:pt idx="4">
                  <c:v>0.22958579881656771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9-460C-8301-AE71E8063554}"/>
            </c:ext>
          </c:extLst>
        </c:ser>
        <c:ser>
          <c:idx val="7"/>
          <c:order val="6"/>
          <c:tx>
            <c:strRef>
              <c:f>Argentina!$D$46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Argentina!$E$31:$I$31</c:f>
              <c:numCache>
                <c:formatCode>General</c:formatCode>
                <c:ptCount val="5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</c:numCache>
            </c:numRef>
          </c:cat>
          <c:val>
            <c:numRef>
              <c:f>Argentina!$E$46:$I$46</c:f>
              <c:numCache>
                <c:formatCode>0%</c:formatCode>
                <c:ptCount val="5"/>
                <c:pt idx="0">
                  <c:v>0</c:v>
                </c:pt>
                <c:pt idx="1">
                  <c:v>4.0404040404041927E-2</c:v>
                </c:pt>
                <c:pt idx="2">
                  <c:v>6.2499999999999362E-2</c:v>
                </c:pt>
                <c:pt idx="3">
                  <c:v>0.11851851851851802</c:v>
                </c:pt>
                <c:pt idx="4">
                  <c:v>0.15384615384615496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9-460C-8301-AE71E8063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65456"/>
        <c:axId val="320567856"/>
      </c:areaChart>
      <c:catAx>
        <c:axId val="32056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7856"/>
        <c:crosses val="autoZero"/>
        <c:auto val="1"/>
        <c:lblAlgn val="ctr"/>
        <c:lblOffset val="100"/>
        <c:noMultiLvlLbl val="0"/>
      </c:catAx>
      <c:valAx>
        <c:axId val="32056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6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302559</xdr:colOff>
      <xdr:row>0</xdr:row>
      <xdr:rowOff>0</xdr:rowOff>
    </xdr:from>
    <xdr:to>
      <xdr:col>41</xdr:col>
      <xdr:colOff>179294</xdr:colOff>
      <xdr:row>38</xdr:row>
      <xdr:rowOff>68734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0588E5-961A-DD11-9768-45574715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16735" y="0"/>
          <a:ext cx="13189323" cy="7307734"/>
        </a:xfrm>
        <a:prstGeom prst="rect">
          <a:avLst/>
        </a:prstGeom>
      </xdr:spPr>
    </xdr:pic>
    <xdr:clientData/>
  </xdr:twoCellAnchor>
  <xdr:twoCellAnchor>
    <xdr:from>
      <xdr:col>10</xdr:col>
      <xdr:colOff>28575</xdr:colOff>
      <xdr:row>19</xdr:row>
      <xdr:rowOff>157161</xdr:rowOff>
    </xdr:from>
    <xdr:to>
      <xdr:col>17</xdr:col>
      <xdr:colOff>161925</xdr:colOff>
      <xdr:row>35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04CF6D-B73C-D708-AEC9-8623A973F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32</xdr:row>
      <xdr:rowOff>142875</xdr:rowOff>
    </xdr:from>
    <xdr:to>
      <xdr:col>17</xdr:col>
      <xdr:colOff>161925</xdr:colOff>
      <xdr:row>48</xdr:row>
      <xdr:rowOff>90489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3372D1-E007-4E29-8A37-5A665B08A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257735</xdr:colOff>
      <xdr:row>4</xdr:row>
      <xdr:rowOff>78440</xdr:rowOff>
    </xdr:from>
    <xdr:to>
      <xdr:col>38</xdr:col>
      <xdr:colOff>437028</xdr:colOff>
      <xdr:row>45</xdr:row>
      <xdr:rowOff>103487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F002B2-E4E0-459E-B948-AE27A1141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1500" y="840440"/>
          <a:ext cx="12886764" cy="7835547"/>
        </a:xfrm>
        <a:prstGeom prst="rect">
          <a:avLst/>
        </a:prstGeom>
      </xdr:spPr>
    </xdr:pic>
    <xdr:clientData/>
  </xdr:twoCellAnchor>
  <xdr:twoCellAnchor>
    <xdr:from>
      <xdr:col>9</xdr:col>
      <xdr:colOff>224118</xdr:colOff>
      <xdr:row>28</xdr:row>
      <xdr:rowOff>89647</xdr:rowOff>
    </xdr:from>
    <xdr:to>
      <xdr:col>14</xdr:col>
      <xdr:colOff>222997</xdr:colOff>
      <xdr:row>45</xdr:row>
      <xdr:rowOff>37261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677809-4DAA-44FE-ABC8-932C6C863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224118</xdr:colOff>
      <xdr:row>42</xdr:row>
      <xdr:rowOff>100853</xdr:rowOff>
    </xdr:from>
    <xdr:to>
      <xdr:col>14</xdr:col>
      <xdr:colOff>222997</xdr:colOff>
      <xdr:row>59</xdr:row>
      <xdr:rowOff>48467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260C2C-FD86-4520-9CC4-CD264804E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85" zoomScaleNormal="85" workbookViewId="0">
      <selection activeCell="L12" sqref="L12:P17"/>
    </sheetView>
  </sheetViews>
  <sheetFormatPr defaultRowHeight="15" x14ac:dyDescent="0.25"/>
  <cols>
    <col min="2" max="2" width="6.7109375" bestFit="1" customWidth="1"/>
    <col min="3" max="3" width="21.28515625" customWidth="1"/>
    <col min="4" max="4" width="48.140625" bestFit="1" customWidth="1"/>
    <col min="5" max="5" width="9.7109375" bestFit="1" customWidth="1"/>
    <col min="6" max="6" width="11.85546875" customWidth="1"/>
    <col min="12" max="16" width="7.140625" bestFit="1" customWidth="1"/>
  </cols>
  <sheetData>
    <row r="1" spans="1:16" x14ac:dyDescent="0.25">
      <c r="A1" s="1" t="s">
        <v>10</v>
      </c>
      <c r="B1" s="1" t="s">
        <v>11</v>
      </c>
      <c r="C1" s="1" t="s">
        <v>43</v>
      </c>
      <c r="D1" s="1" t="s">
        <v>13</v>
      </c>
      <c r="E1" s="1" t="s">
        <v>26</v>
      </c>
      <c r="F1" s="2">
        <v>2020</v>
      </c>
      <c r="G1" s="2">
        <v>2025</v>
      </c>
      <c r="H1" s="2">
        <v>2030</v>
      </c>
      <c r="I1" s="2">
        <v>2035</v>
      </c>
      <c r="J1" s="2">
        <v>2040</v>
      </c>
      <c r="L1" s="2"/>
      <c r="M1" s="2"/>
      <c r="N1" s="2"/>
      <c r="O1" s="2"/>
      <c r="P1" s="2"/>
    </row>
    <row r="2" spans="1:16" x14ac:dyDescent="0.25">
      <c r="A2" t="s">
        <v>0</v>
      </c>
      <c r="B2" t="s">
        <v>12</v>
      </c>
      <c r="C2" t="s">
        <v>1</v>
      </c>
      <c r="D2" t="s">
        <v>16</v>
      </c>
      <c r="E2" t="s">
        <v>14</v>
      </c>
      <c r="F2" s="6">
        <v>27.082999999999998</v>
      </c>
      <c r="G2" s="6">
        <v>11.46</v>
      </c>
      <c r="H2" s="6">
        <v>0</v>
      </c>
      <c r="I2" s="6">
        <v>0</v>
      </c>
      <c r="J2" s="6">
        <v>0</v>
      </c>
    </row>
    <row r="3" spans="1:16" x14ac:dyDescent="0.25">
      <c r="A3" t="s">
        <v>0</v>
      </c>
      <c r="B3" t="s">
        <v>12</v>
      </c>
      <c r="C3" t="s">
        <v>44</v>
      </c>
      <c r="D3" t="s">
        <v>17</v>
      </c>
      <c r="E3" t="s">
        <v>14</v>
      </c>
      <c r="F3" s="6">
        <f>(42.71-F2)*0.62</f>
        <v>9.688740000000001</v>
      </c>
      <c r="G3" s="6">
        <f>(25-G2)*0.62</f>
        <v>8.3948</v>
      </c>
      <c r="H3" s="6">
        <f>(13.25-H2)*0.62</f>
        <v>8.2149999999999999</v>
      </c>
      <c r="I3" s="6">
        <f>(14.52-I2)*0.62</f>
        <v>9.0023999999999997</v>
      </c>
      <c r="J3" s="6">
        <f>(15.14-J2)*0.62</f>
        <v>9.3868000000000009</v>
      </c>
      <c r="K3" s="4" t="s">
        <v>19</v>
      </c>
    </row>
    <row r="4" spans="1:16" x14ac:dyDescent="0.25">
      <c r="A4" t="s">
        <v>0</v>
      </c>
      <c r="B4" t="s">
        <v>12</v>
      </c>
      <c r="C4" t="s">
        <v>45</v>
      </c>
      <c r="D4" t="s">
        <v>18</v>
      </c>
      <c r="E4" t="s">
        <v>14</v>
      </c>
      <c r="F4" s="6">
        <f>(42.71-F2)*(1-0.62)</f>
        <v>5.9382600000000014</v>
      </c>
      <c r="G4" s="6">
        <f>(25-G2)*(1-0.62)</f>
        <v>5.1452</v>
      </c>
      <c r="H4" s="6">
        <f>(13.25-H2)*(1-0.62)</f>
        <v>5.0350000000000001</v>
      </c>
      <c r="I4" s="6">
        <f>(14.52-I2)*(1-0.62)</f>
        <v>5.5175999999999998</v>
      </c>
      <c r="J4" s="6">
        <f>(15.14-J2)*(1-0.62)</f>
        <v>5.7532000000000005</v>
      </c>
      <c r="K4" s="4" t="s">
        <v>20</v>
      </c>
    </row>
    <row r="5" spans="1:16" x14ac:dyDescent="0.25">
      <c r="A5" t="s">
        <v>0</v>
      </c>
      <c r="B5" t="s">
        <v>12</v>
      </c>
      <c r="C5" t="s">
        <v>3</v>
      </c>
      <c r="D5" t="s">
        <v>24</v>
      </c>
      <c r="E5" t="s">
        <v>14</v>
      </c>
      <c r="F5" s="6">
        <f>47.92-SUM(F$2:$F4)</f>
        <v>5.2100000000000009</v>
      </c>
      <c r="G5" s="6">
        <f>32.29-SUM($G$2:G4)</f>
        <v>7.2899999999999991</v>
      </c>
      <c r="H5" s="6">
        <f>22.72-SUM($H$2:H4)</f>
        <v>9.4699999999999989</v>
      </c>
      <c r="I5" s="6">
        <f>23.96-SUM($I$2:I4)</f>
        <v>9.4400000000000013</v>
      </c>
      <c r="J5" s="6">
        <f>22.72-SUM($J$2:J4)</f>
        <v>7.5799999999999983</v>
      </c>
    </row>
    <row r="6" spans="1:16" x14ac:dyDescent="0.25">
      <c r="A6" t="s">
        <v>0</v>
      </c>
      <c r="B6" t="s">
        <v>12</v>
      </c>
      <c r="C6" t="s">
        <v>5</v>
      </c>
      <c r="D6" t="s">
        <v>21</v>
      </c>
      <c r="E6" t="s">
        <v>14</v>
      </c>
      <c r="F6" s="6">
        <f>69.79-SUM(F$2:$F5)</f>
        <v>21.870000000000005</v>
      </c>
      <c r="G6" s="6">
        <f>57.29-SUM($G$2:G5)</f>
        <v>25</v>
      </c>
      <c r="H6" s="6">
        <f>47.32-SUM($H$2:H5)</f>
        <v>24.6</v>
      </c>
      <c r="I6" s="6">
        <f>46.87-SUM($I$2:I5)</f>
        <v>22.909999999999997</v>
      </c>
      <c r="J6" s="6">
        <f>46.37-SUM($J$2:J5)</f>
        <v>23.65</v>
      </c>
    </row>
    <row r="7" spans="1:16" x14ac:dyDescent="0.25">
      <c r="A7" t="s">
        <v>0</v>
      </c>
      <c r="B7" t="s">
        <v>12</v>
      </c>
      <c r="C7" t="s">
        <v>6</v>
      </c>
      <c r="D7" t="s">
        <v>22</v>
      </c>
      <c r="E7" t="s">
        <v>14</v>
      </c>
      <c r="F7" s="6">
        <f>75-SUM(F$2:$F6)</f>
        <v>5.2099999999999937</v>
      </c>
      <c r="G7" s="6">
        <f>77.1-SUM($G$2:G6)</f>
        <v>19.809999999999995</v>
      </c>
      <c r="H7" s="6">
        <f>76.66-SUM($H$2:H6)</f>
        <v>29.339999999999996</v>
      </c>
      <c r="I7" s="6">
        <f>89.58-SUM($I$2:I6)</f>
        <v>42.71</v>
      </c>
      <c r="J7" s="6">
        <f>92.74-SUM($J$2:J6)</f>
        <v>46.37</v>
      </c>
    </row>
    <row r="8" spans="1:16" x14ac:dyDescent="0.25">
      <c r="A8" t="s">
        <v>0</v>
      </c>
      <c r="B8" t="s">
        <v>12</v>
      </c>
      <c r="C8" t="s">
        <v>7</v>
      </c>
      <c r="D8" t="s">
        <v>23</v>
      </c>
      <c r="E8" t="s">
        <v>14</v>
      </c>
      <c r="F8" s="6">
        <f>84.37-SUM(F$2:$F7)</f>
        <v>9.3700000000000045</v>
      </c>
      <c r="G8" s="6">
        <f>93.75-SUM($G$2:G7)</f>
        <v>16.650000000000006</v>
      </c>
      <c r="H8" s="6">
        <f>101.26-84.23</f>
        <v>17.03</v>
      </c>
      <c r="I8" s="6">
        <f>121.87-103.12</f>
        <v>18.75</v>
      </c>
      <c r="J8" s="6">
        <f>124.92-106.94</f>
        <v>17.980000000000004</v>
      </c>
    </row>
    <row r="9" spans="1:16" x14ac:dyDescent="0.25">
      <c r="A9" t="s">
        <v>0</v>
      </c>
      <c r="B9" t="s">
        <v>12</v>
      </c>
      <c r="C9" t="s">
        <v>8</v>
      </c>
      <c r="D9" t="s">
        <v>27</v>
      </c>
      <c r="E9" t="s">
        <v>14</v>
      </c>
      <c r="F9" s="6">
        <v>0</v>
      </c>
      <c r="G9" s="6">
        <v>0</v>
      </c>
      <c r="H9" s="6">
        <v>0</v>
      </c>
      <c r="I9" s="6">
        <f>155.21-147.92</f>
        <v>7.2900000000000205</v>
      </c>
      <c r="J9" s="6">
        <f>181.7-166.56</f>
        <v>15.139999999999986</v>
      </c>
      <c r="K9" s="4" t="s">
        <v>51</v>
      </c>
    </row>
    <row r="10" spans="1:16" x14ac:dyDescent="0.25">
      <c r="F10" s="7">
        <f>SUM(F2:F9)</f>
        <v>84.37</v>
      </c>
      <c r="G10" s="7">
        <f t="shared" ref="G10:J10" si="0">SUM(G2:G9)</f>
        <v>93.75</v>
      </c>
      <c r="H10" s="7">
        <f t="shared" si="0"/>
        <v>93.69</v>
      </c>
      <c r="I10" s="7">
        <f t="shared" si="0"/>
        <v>115.62000000000002</v>
      </c>
      <c r="J10" s="7">
        <f t="shared" si="0"/>
        <v>125.85999999999999</v>
      </c>
      <c r="L10" s="5"/>
      <c r="M10" s="5"/>
      <c r="N10" s="5"/>
      <c r="O10" s="5"/>
      <c r="P10" s="5"/>
    </row>
    <row r="11" spans="1:16" x14ac:dyDescent="0.25">
      <c r="F11" s="7"/>
      <c r="G11" s="7"/>
      <c r="H11" s="7"/>
      <c r="I11" s="7"/>
      <c r="J11" s="7"/>
      <c r="L11" s="5"/>
      <c r="M11" s="5"/>
      <c r="N11" s="5"/>
      <c r="O11" s="5"/>
      <c r="P11" s="5"/>
    </row>
    <row r="12" spans="1:16" x14ac:dyDescent="0.25">
      <c r="A12" t="s">
        <v>9</v>
      </c>
      <c r="B12" t="s">
        <v>12</v>
      </c>
      <c r="C12" t="s">
        <v>1</v>
      </c>
      <c r="D12" t="s">
        <v>16</v>
      </c>
      <c r="E12" t="s">
        <v>14</v>
      </c>
      <c r="F12" s="6">
        <f t="shared" ref="F12:F19" si="1">F2</f>
        <v>27.082999999999998</v>
      </c>
      <c r="G12" s="6">
        <v>6.5693430656934302</v>
      </c>
      <c r="H12" s="6">
        <v>0</v>
      </c>
      <c r="I12" s="6">
        <v>0</v>
      </c>
      <c r="J12" s="6">
        <v>0</v>
      </c>
      <c r="L12" s="10"/>
      <c r="M12" s="10"/>
      <c r="N12" s="10"/>
      <c r="O12" s="10"/>
      <c r="P12" s="10"/>
    </row>
    <row r="13" spans="1:16" x14ac:dyDescent="0.25">
      <c r="A13" t="s">
        <v>9</v>
      </c>
      <c r="B13" t="s">
        <v>12</v>
      </c>
      <c r="C13" t="s">
        <v>44</v>
      </c>
      <c r="D13" t="s">
        <v>17</v>
      </c>
      <c r="E13" t="s">
        <v>14</v>
      </c>
      <c r="F13" s="6">
        <f t="shared" si="1"/>
        <v>9.688740000000001</v>
      </c>
      <c r="G13" s="6">
        <f>(21.8978102189781-G12)*0.62</f>
        <v>9.5036496350364956</v>
      </c>
      <c r="H13" s="6">
        <f>(8.75912408759124-H12)*0.62</f>
        <v>5.4306569343065689</v>
      </c>
      <c r="I13" s="6">
        <v>0</v>
      </c>
      <c r="J13" s="6">
        <v>0</v>
      </c>
      <c r="L13" s="10"/>
      <c r="M13" s="10"/>
      <c r="N13" s="10"/>
      <c r="O13" s="10"/>
      <c r="P13" s="10"/>
    </row>
    <row r="14" spans="1:16" x14ac:dyDescent="0.25">
      <c r="A14" t="s">
        <v>9</v>
      </c>
      <c r="B14" t="s">
        <v>12</v>
      </c>
      <c r="C14" t="s">
        <v>45</v>
      </c>
      <c r="D14" t="s">
        <v>18</v>
      </c>
      <c r="E14" t="s">
        <v>14</v>
      </c>
      <c r="F14" s="6">
        <f t="shared" si="1"/>
        <v>5.9382600000000014</v>
      </c>
      <c r="G14" s="6">
        <f>(21.8978102189781-G12)*(1-0.62)</f>
        <v>5.8248175182481745</v>
      </c>
      <c r="H14" s="6">
        <f>(8.75912408759124-H12)*(1-0.62)</f>
        <v>3.3284671532846715</v>
      </c>
      <c r="I14" s="6">
        <v>0</v>
      </c>
      <c r="J14" s="6">
        <v>0</v>
      </c>
      <c r="L14" s="10"/>
      <c r="M14" s="10"/>
      <c r="N14" s="10"/>
      <c r="O14" s="10"/>
      <c r="P14" s="10"/>
    </row>
    <row r="15" spans="1:16" x14ac:dyDescent="0.25">
      <c r="A15" t="s">
        <v>9</v>
      </c>
      <c r="B15" t="s">
        <v>12</v>
      </c>
      <c r="C15" t="s">
        <v>3</v>
      </c>
      <c r="D15" t="s">
        <v>24</v>
      </c>
      <c r="E15" t="s">
        <v>14</v>
      </c>
      <c r="F15" s="6">
        <f t="shared" si="1"/>
        <v>5.2100000000000009</v>
      </c>
      <c r="G15" s="6">
        <f>28.4671532846715-SUM($G$12:G14)</f>
        <v>6.5693430656933991</v>
      </c>
      <c r="H15" s="6">
        <f>17.5182481751824-SUM($H$12:H14)</f>
        <v>8.7591240875911591</v>
      </c>
      <c r="I15" s="6">
        <v>12.0437956204379</v>
      </c>
      <c r="J15" s="6">
        <v>14.63</v>
      </c>
      <c r="L15" s="10"/>
      <c r="M15" s="10"/>
      <c r="N15" s="10"/>
      <c r="O15" s="10"/>
      <c r="P15" s="10"/>
    </row>
    <row r="16" spans="1:16" x14ac:dyDescent="0.25">
      <c r="A16" t="s">
        <v>9</v>
      </c>
      <c r="B16" t="s">
        <v>12</v>
      </c>
      <c r="C16" t="s">
        <v>5</v>
      </c>
      <c r="D16" t="s">
        <v>21</v>
      </c>
      <c r="E16" t="s">
        <v>14</v>
      </c>
      <c r="F16" s="6">
        <f t="shared" si="1"/>
        <v>21.870000000000005</v>
      </c>
      <c r="G16" s="6">
        <f>51.4598540145985-SUM($G$12:G15)</f>
        <v>22.992700729926998</v>
      </c>
      <c r="H16" s="6">
        <f>42.7007299270073-SUM($H$12:H15)</f>
        <v>25.182481751824902</v>
      </c>
      <c r="I16" s="6">
        <f>42.7007299270073-SUM($I$12:I15)</f>
        <v>30.656934306569404</v>
      </c>
      <c r="J16" s="6">
        <f>47-SUM($J$12:J15)</f>
        <v>32.369999999999997</v>
      </c>
      <c r="L16" s="10"/>
      <c r="M16" s="10"/>
      <c r="N16" s="10"/>
      <c r="O16" s="10"/>
      <c r="P16" s="10"/>
    </row>
    <row r="17" spans="1:16" x14ac:dyDescent="0.25">
      <c r="A17" t="s">
        <v>9</v>
      </c>
      <c r="B17" t="s">
        <v>12</v>
      </c>
      <c r="C17" t="s">
        <v>6</v>
      </c>
      <c r="D17" t="s">
        <v>22</v>
      </c>
      <c r="E17" t="s">
        <v>14</v>
      </c>
      <c r="F17" s="6">
        <f t="shared" si="1"/>
        <v>5.2099999999999937</v>
      </c>
      <c r="G17" s="6">
        <f>73.3576642335766-SUM($G$12:G16)</f>
        <v>21.897810218978101</v>
      </c>
      <c r="H17" s="6">
        <f>84.3065693430656-SUM($H$12:H16)</f>
        <v>41.605839416058302</v>
      </c>
      <c r="I17" s="6">
        <f>91.970802919708-SUM($I$12:I16)</f>
        <v>49.270072992700705</v>
      </c>
      <c r="J17" s="6">
        <f>108.71-SUM($J$12:J16)</f>
        <v>61.709999999999994</v>
      </c>
      <c r="L17" s="10"/>
      <c r="M17" s="10"/>
      <c r="N17" s="10"/>
      <c r="O17" s="10"/>
      <c r="P17" s="10"/>
    </row>
    <row r="18" spans="1:16" x14ac:dyDescent="0.25">
      <c r="A18" t="s">
        <v>9</v>
      </c>
      <c r="B18" t="s">
        <v>12</v>
      </c>
      <c r="C18" t="s">
        <v>7</v>
      </c>
      <c r="D18" t="s">
        <v>23</v>
      </c>
      <c r="E18" t="s">
        <v>14</v>
      </c>
      <c r="F18" s="6">
        <f t="shared" si="1"/>
        <v>9.3700000000000045</v>
      </c>
      <c r="G18" s="6">
        <f>99.6350364963503-SUM($G$12:G17)</f>
        <v>26.277372262773696</v>
      </c>
      <c r="H18" s="6">
        <f>118.248175182481-SUM($H$12:H17)</f>
        <v>33.941605839415402</v>
      </c>
      <c r="I18" s="6">
        <f>163.138686131386-122.627737226277</f>
        <v>40.510948905109004</v>
      </c>
      <c r="J18" s="6">
        <f>194.43-144.25</f>
        <v>50.180000000000007</v>
      </c>
    </row>
    <row r="19" spans="1:16" x14ac:dyDescent="0.25">
      <c r="A19" t="s">
        <v>9</v>
      </c>
      <c r="B19" t="s">
        <v>12</v>
      </c>
      <c r="C19" t="s">
        <v>8</v>
      </c>
      <c r="D19" t="s">
        <v>27</v>
      </c>
      <c r="E19" t="s">
        <v>14</v>
      </c>
      <c r="F19" s="6">
        <f t="shared" si="1"/>
        <v>0</v>
      </c>
      <c r="G19" s="6">
        <v>0</v>
      </c>
      <c r="H19" s="6">
        <f>168.613138686131-157.664233576642</f>
        <v>10.948905109489004</v>
      </c>
      <c r="I19" s="6">
        <f>256.204379562043-236.496350364963</f>
        <v>19.708029197080009</v>
      </c>
      <c r="J19" s="6">
        <f>409.75-378.39</f>
        <v>31.360000000000014</v>
      </c>
      <c r="K19" s="4" t="s">
        <v>51</v>
      </c>
    </row>
    <row r="20" spans="1:16" x14ac:dyDescent="0.25">
      <c r="F20" s="7">
        <f>SUM(F12:F19)</f>
        <v>84.37</v>
      </c>
      <c r="G20" s="7">
        <f t="shared" ref="G20" si="2">SUM(G12:G19)</f>
        <v>99.635036496350295</v>
      </c>
      <c r="H20" s="7">
        <f t="shared" ref="H20" si="3">SUM(H12:H19)</f>
        <v>129.19708029197</v>
      </c>
      <c r="I20" s="7">
        <f t="shared" ref="I20" si="4">SUM(I12:I19)</f>
        <v>152.18978102189703</v>
      </c>
      <c r="J20" s="7">
        <f t="shared" ref="J20" si="5">SUM(J12:J19)</f>
        <v>190.25</v>
      </c>
    </row>
    <row r="21" spans="1:16" x14ac:dyDescent="0.25">
      <c r="D21" t="s">
        <v>40</v>
      </c>
    </row>
    <row r="22" spans="1:16" x14ac:dyDescent="0.25">
      <c r="D22" t="s">
        <v>41</v>
      </c>
      <c r="E22" s="2">
        <v>2020</v>
      </c>
      <c r="F22" s="2">
        <v>2025</v>
      </c>
      <c r="G22" s="2">
        <v>2030</v>
      </c>
      <c r="H22" s="2">
        <v>2035</v>
      </c>
      <c r="I22" s="2">
        <v>2040</v>
      </c>
    </row>
    <row r="23" spans="1:16" x14ac:dyDescent="0.25">
      <c r="C23" t="s">
        <v>0</v>
      </c>
      <c r="D23" t="s">
        <v>15</v>
      </c>
      <c r="E23" s="5">
        <f>F2/SUM(F$2:F$9)</f>
        <v>0.32100272608747182</v>
      </c>
      <c r="F23" s="5">
        <f>G2/SUM(G$2:G$9)</f>
        <v>0.12224000000000002</v>
      </c>
      <c r="G23" s="5">
        <f>H2/SUM(H$2:H$9)</f>
        <v>0</v>
      </c>
      <c r="H23" s="5">
        <f>I2/SUM(I$2:I$9)</f>
        <v>0</v>
      </c>
      <c r="I23" s="5">
        <f>J2/SUM(J$2:J$9)</f>
        <v>0</v>
      </c>
    </row>
    <row r="24" spans="1:16" x14ac:dyDescent="0.25">
      <c r="C24" t="s">
        <v>0</v>
      </c>
      <c r="D24" t="s">
        <v>2</v>
      </c>
      <c r="E24" s="5">
        <f>(F3+F4)/SUM(F$2:F$9)</f>
        <v>0.18521986488088185</v>
      </c>
      <c r="F24" s="5">
        <f t="shared" ref="F24:I24" si="6">(G3+G4)/SUM(G$2:G$9)</f>
        <v>0.14442666666666665</v>
      </c>
      <c r="G24" s="5">
        <f t="shared" si="6"/>
        <v>0.14142384459387342</v>
      </c>
      <c r="H24" s="5">
        <f t="shared" si="6"/>
        <v>0.12558380902957963</v>
      </c>
      <c r="I24" s="5">
        <f t="shared" si="6"/>
        <v>0.12029238836802798</v>
      </c>
    </row>
    <row r="25" spans="1:16" x14ac:dyDescent="0.25">
      <c r="C25" t="s">
        <v>0</v>
      </c>
      <c r="D25" s="3" t="s">
        <v>3</v>
      </c>
      <c r="E25" s="5">
        <f t="shared" ref="E25:I29" si="7">F5/SUM(F$2:F$9)</f>
        <v>6.1751807514519384E-2</v>
      </c>
      <c r="F25" s="5">
        <f t="shared" si="7"/>
        <v>7.7759999999999996E-2</v>
      </c>
      <c r="G25" s="5">
        <f t="shared" si="7"/>
        <v>0.10107802326822499</v>
      </c>
      <c r="H25" s="5">
        <f t="shared" si="7"/>
        <v>8.1646773914547652E-2</v>
      </c>
      <c r="I25" s="5">
        <f t="shared" si="7"/>
        <v>6.0225647544891139E-2</v>
      </c>
    </row>
    <row r="26" spans="1:16" x14ac:dyDescent="0.25">
      <c r="C26" t="s">
        <v>0</v>
      </c>
      <c r="D26" t="s">
        <v>5</v>
      </c>
      <c r="E26" s="5">
        <f t="shared" si="7"/>
        <v>0.25921536091027619</v>
      </c>
      <c r="F26" s="5">
        <f t="shared" si="7"/>
        <v>0.26666666666666666</v>
      </c>
      <c r="G26" s="5">
        <f t="shared" si="7"/>
        <v>0.26256804354787067</v>
      </c>
      <c r="H26" s="5">
        <f t="shared" si="7"/>
        <v>0.19814910915066591</v>
      </c>
      <c r="I26" s="5">
        <f t="shared" si="7"/>
        <v>0.18790719847449547</v>
      </c>
    </row>
    <row r="27" spans="1:16" x14ac:dyDescent="0.25">
      <c r="C27" t="s">
        <v>0</v>
      </c>
      <c r="D27" t="s">
        <v>6</v>
      </c>
      <c r="E27" s="5">
        <f t="shared" si="7"/>
        <v>6.1751807514519301E-2</v>
      </c>
      <c r="F27" s="5">
        <f t="shared" si="7"/>
        <v>0.21130666666666661</v>
      </c>
      <c r="G27" s="5">
        <f t="shared" si="7"/>
        <v>0.31316042267050909</v>
      </c>
      <c r="H27" s="5">
        <f t="shared" si="7"/>
        <v>0.36939975782736545</v>
      </c>
      <c r="I27" s="5">
        <f t="shared" si="7"/>
        <v>0.36842523438741459</v>
      </c>
    </row>
    <row r="28" spans="1:16" x14ac:dyDescent="0.25">
      <c r="C28" t="s">
        <v>0</v>
      </c>
      <c r="D28" t="s">
        <v>42</v>
      </c>
      <c r="E28" s="5">
        <f t="shared" si="7"/>
        <v>0.11105843309233145</v>
      </c>
      <c r="F28" s="5">
        <f t="shared" si="7"/>
        <v>0.17760000000000006</v>
      </c>
      <c r="G28" s="5">
        <f t="shared" si="7"/>
        <v>0.18176966591952184</v>
      </c>
      <c r="H28" s="5">
        <f t="shared" si="7"/>
        <v>0.16216917488323818</v>
      </c>
      <c r="I28" s="5">
        <f t="shared" si="7"/>
        <v>0.1428571428571429</v>
      </c>
    </row>
    <row r="29" spans="1:16" x14ac:dyDescent="0.25">
      <c r="C29" t="s">
        <v>0</v>
      </c>
      <c r="D29" s="3" t="s">
        <v>8</v>
      </c>
      <c r="E29" s="5">
        <f t="shared" si="7"/>
        <v>0</v>
      </c>
      <c r="F29" s="5">
        <f t="shared" si="7"/>
        <v>0</v>
      </c>
      <c r="G29" s="5">
        <f t="shared" si="7"/>
        <v>0</v>
      </c>
      <c r="H29" s="5">
        <f t="shared" si="7"/>
        <v>6.3051375194603174E-2</v>
      </c>
      <c r="I29" s="5">
        <f t="shared" si="7"/>
        <v>0.12029238836802787</v>
      </c>
    </row>
    <row r="31" spans="1:16" x14ac:dyDescent="0.25">
      <c r="C31" t="s">
        <v>9</v>
      </c>
      <c r="D31" t="s">
        <v>15</v>
      </c>
      <c r="E31" s="5">
        <f>F12/SUM(F$12:F$19)</f>
        <v>0.32100272608747182</v>
      </c>
      <c r="F31" s="5">
        <f>G12/SUM(G$12:G$19)</f>
        <v>6.5934065934065977E-2</v>
      </c>
      <c r="G31" s="5">
        <f>H12/SUM(H$12:H$19)</f>
        <v>0</v>
      </c>
      <c r="H31" s="5">
        <f>I12/SUM(I$12:I$19)</f>
        <v>0</v>
      </c>
      <c r="I31" s="5">
        <f>J12/SUM(J$12:J$19)</f>
        <v>0</v>
      </c>
    </row>
    <row r="32" spans="1:16" x14ac:dyDescent="0.25">
      <c r="C32" t="s">
        <v>9</v>
      </c>
      <c r="D32" t="s">
        <v>2</v>
      </c>
      <c r="E32" s="5">
        <f>(F13+F14)/SUM(F$12:F$19)</f>
        <v>0.18521986488088185</v>
      </c>
      <c r="F32" s="5">
        <f t="shared" ref="F32:I32" si="8">(G13+G14)/SUM(G$12:G$19)</f>
        <v>0.15384615384615394</v>
      </c>
      <c r="G32" s="5">
        <f t="shared" si="8"/>
        <v>6.7796610169491942E-2</v>
      </c>
      <c r="H32" s="5">
        <f t="shared" si="8"/>
        <v>0</v>
      </c>
      <c r="I32" s="5">
        <f t="shared" si="8"/>
        <v>0</v>
      </c>
    </row>
    <row r="33" spans="3:9" x14ac:dyDescent="0.25">
      <c r="C33" t="s">
        <v>9</v>
      </c>
      <c r="D33" s="3" t="s">
        <v>3</v>
      </c>
      <c r="E33" s="5">
        <f t="shared" ref="E33:I37" si="9">F15/SUM(F$12:F$19)</f>
        <v>6.1751807514519384E-2</v>
      </c>
      <c r="F33" s="5">
        <f t="shared" si="9"/>
        <v>6.5934065934065658E-2</v>
      </c>
      <c r="G33" s="5">
        <f t="shared" si="9"/>
        <v>6.7796610169491317E-2</v>
      </c>
      <c r="H33" s="5">
        <f t="shared" si="9"/>
        <v>7.913669064748205E-2</v>
      </c>
      <c r="I33" s="5">
        <f t="shared" si="9"/>
        <v>7.6898817345597906E-2</v>
      </c>
    </row>
    <row r="34" spans="3:9" x14ac:dyDescent="0.25">
      <c r="C34" t="s">
        <v>9</v>
      </c>
      <c r="D34" t="s">
        <v>5</v>
      </c>
      <c r="E34" s="5">
        <f t="shared" si="9"/>
        <v>0.25921536091027619</v>
      </c>
      <c r="F34" s="5">
        <f t="shared" si="9"/>
        <v>0.23076923076923084</v>
      </c>
      <c r="G34" s="5">
        <f t="shared" si="9"/>
        <v>0.19491525423729</v>
      </c>
      <c r="H34" s="5">
        <f t="shared" si="9"/>
        <v>0.20143884892086475</v>
      </c>
      <c r="I34" s="5">
        <f t="shared" si="9"/>
        <v>0.17014454664914586</v>
      </c>
    </row>
    <row r="35" spans="3:9" x14ac:dyDescent="0.25">
      <c r="C35" t="s">
        <v>9</v>
      </c>
      <c r="D35" t="s">
        <v>6</v>
      </c>
      <c r="E35" s="5">
        <f t="shared" si="9"/>
        <v>6.1751807514519301E-2</v>
      </c>
      <c r="F35" s="5">
        <f t="shared" si="9"/>
        <v>0.21978021978021992</v>
      </c>
      <c r="G35" s="5">
        <f t="shared" si="9"/>
        <v>0.32203389830508605</v>
      </c>
      <c r="H35" s="5">
        <f t="shared" si="9"/>
        <v>0.32374100719424609</v>
      </c>
      <c r="I35" s="5">
        <f t="shared" si="9"/>
        <v>0.32436268068331142</v>
      </c>
    </row>
    <row r="36" spans="3:9" x14ac:dyDescent="0.25">
      <c r="C36" t="s">
        <v>9</v>
      </c>
      <c r="D36" t="s">
        <v>42</v>
      </c>
      <c r="E36" s="5">
        <f t="shared" si="9"/>
        <v>0.11105843309233145</v>
      </c>
      <c r="F36" s="5">
        <f t="shared" si="9"/>
        <v>0.26373626373626363</v>
      </c>
      <c r="G36" s="5">
        <f t="shared" si="9"/>
        <v>0.26271186440677624</v>
      </c>
      <c r="H36" s="5">
        <f t="shared" si="9"/>
        <v>0.26618705035971041</v>
      </c>
      <c r="I36" s="5">
        <f t="shared" si="9"/>
        <v>0.26375821287779244</v>
      </c>
    </row>
    <row r="37" spans="3:9" x14ac:dyDescent="0.25">
      <c r="C37" t="s">
        <v>9</v>
      </c>
      <c r="D37" s="3" t="s">
        <v>8</v>
      </c>
      <c r="E37" s="5">
        <f t="shared" si="9"/>
        <v>0</v>
      </c>
      <c r="F37" s="5">
        <f t="shared" si="9"/>
        <v>0</v>
      </c>
      <c r="G37" s="5">
        <f t="shared" si="9"/>
        <v>8.474576271186457E-2</v>
      </c>
      <c r="H37" s="5">
        <f t="shared" si="9"/>
        <v>0.12949640287769665</v>
      </c>
      <c r="I37" s="5">
        <f t="shared" si="9"/>
        <v>0.1648357424441525</v>
      </c>
    </row>
    <row r="39" spans="3:9" x14ac:dyDescent="0.25">
      <c r="H39" s="8"/>
    </row>
    <row r="40" spans="3:9" x14ac:dyDescent="0.25">
      <c r="H40" s="8"/>
    </row>
    <row r="41" spans="3:9" x14ac:dyDescent="0.25">
      <c r="H41" s="8"/>
    </row>
    <row r="42" spans="3:9" x14ac:dyDescent="0.25">
      <c r="H42" s="8"/>
    </row>
    <row r="43" spans="3:9" x14ac:dyDescent="0.25">
      <c r="H43" s="8"/>
    </row>
    <row r="44" spans="3:9" x14ac:dyDescent="0.25">
      <c r="H44" s="8"/>
    </row>
    <row r="45" spans="3:9" x14ac:dyDescent="0.25">
      <c r="H45" s="8"/>
    </row>
    <row r="46" spans="3:9" x14ac:dyDescent="0.25">
      <c r="H46" s="8"/>
    </row>
    <row r="47" spans="3:9" x14ac:dyDescent="0.25">
      <c r="H47" s="8"/>
    </row>
  </sheetData>
  <conditionalFormatting sqref="E31:I37">
    <cfRule type="colorScale" priority="11">
      <colorScale>
        <cfvo type="min"/>
        <cfvo type="max"/>
        <color rgb="FFFFEF9C"/>
        <color rgb="FF63BE7B"/>
      </colorScale>
    </cfRule>
  </conditionalFormatting>
  <conditionalFormatting sqref="L10:P11 E23:I29">
    <cfRule type="colorScale" priority="1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06F6-CE11-4689-B4B6-117F9F610754}">
  <dimension ref="A1:S56"/>
  <sheetViews>
    <sheetView topLeftCell="A16" zoomScale="85" zoomScaleNormal="85" workbookViewId="0">
      <selection activeCell="G49" sqref="G49"/>
    </sheetView>
  </sheetViews>
  <sheetFormatPr defaultRowHeight="15" x14ac:dyDescent="0.25"/>
  <cols>
    <col min="2" max="2" width="6.7109375" bestFit="1" customWidth="1"/>
    <col min="3" max="3" width="28.85546875" bestFit="1" customWidth="1"/>
    <col min="4" max="4" width="27.5703125" customWidth="1"/>
    <col min="5" max="5" width="9.7109375" bestFit="1" customWidth="1"/>
    <col min="6" max="6" width="11.85546875" customWidth="1"/>
  </cols>
  <sheetData>
    <row r="1" spans="1:19" x14ac:dyDescent="0.25">
      <c r="A1" s="1" t="s">
        <v>10</v>
      </c>
      <c r="B1" s="1" t="s">
        <v>11</v>
      </c>
      <c r="C1" s="1" t="s">
        <v>25</v>
      </c>
      <c r="D1" s="1" t="s">
        <v>13</v>
      </c>
      <c r="E1" s="1" t="s">
        <v>26</v>
      </c>
      <c r="F1" s="2">
        <v>2020</v>
      </c>
      <c r="G1" s="2">
        <v>2025</v>
      </c>
      <c r="H1" s="2">
        <v>2030</v>
      </c>
      <c r="I1" s="2">
        <v>2035</v>
      </c>
      <c r="J1" s="2">
        <v>2040</v>
      </c>
    </row>
    <row r="2" spans="1:19" x14ac:dyDescent="0.25">
      <c r="A2" t="s">
        <v>0</v>
      </c>
      <c r="B2" t="s">
        <v>28</v>
      </c>
      <c r="C2" t="s">
        <v>1</v>
      </c>
      <c r="D2" t="s">
        <v>16</v>
      </c>
      <c r="E2" t="s">
        <v>14</v>
      </c>
      <c r="F2" s="6">
        <v>6.6666666666666599</v>
      </c>
      <c r="G2" s="6">
        <v>10</v>
      </c>
      <c r="H2" s="6">
        <v>0</v>
      </c>
      <c r="I2" s="6">
        <v>0</v>
      </c>
      <c r="J2" s="6">
        <v>0</v>
      </c>
    </row>
    <row r="3" spans="1:19" x14ac:dyDescent="0.25">
      <c r="A3" t="s">
        <v>0</v>
      </c>
      <c r="B3" t="s">
        <v>28</v>
      </c>
      <c r="C3" t="s">
        <v>44</v>
      </c>
      <c r="D3" t="s">
        <v>17</v>
      </c>
      <c r="E3" t="s">
        <v>14</v>
      </c>
      <c r="F3" s="6">
        <f>(90-F2)*0.79</f>
        <v>65.833333333333343</v>
      </c>
      <c r="G3" s="6">
        <f>(83.3333333333333-G2)*0.79</f>
        <v>57.933333333333309</v>
      </c>
      <c r="H3" s="6">
        <f>(73.3333333333333-H2)*0.79</f>
        <v>57.933333333333309</v>
      </c>
      <c r="I3" s="6">
        <f>(61.6666666666666-I2)*0.79</f>
        <v>48.716666666666619</v>
      </c>
      <c r="J3" s="6">
        <f>(48.3333333333333-J2)*0.79</f>
        <v>38.183333333333309</v>
      </c>
      <c r="K3" s="4" t="s">
        <v>29</v>
      </c>
    </row>
    <row r="4" spans="1:19" x14ac:dyDescent="0.25">
      <c r="A4" t="s">
        <v>0</v>
      </c>
      <c r="B4" t="s">
        <v>28</v>
      </c>
      <c r="C4" t="s">
        <v>45</v>
      </c>
      <c r="D4" t="s">
        <v>18</v>
      </c>
      <c r="E4" t="s">
        <v>14</v>
      </c>
      <c r="F4" s="6">
        <f>(90-F2)*0.21</f>
        <v>17.5</v>
      </c>
      <c r="G4" s="6">
        <f>(83.3333333333333-G2)*0.21</f>
        <v>15.399999999999993</v>
      </c>
      <c r="H4" s="6">
        <f>(73.3333333333333-H2)*0.21</f>
        <v>15.399999999999993</v>
      </c>
      <c r="I4" s="6">
        <f>(61.6666666666666-I2)*0.21</f>
        <v>12.949999999999985</v>
      </c>
      <c r="J4" s="6">
        <f>(48.3333333333333-J2)*0.21</f>
        <v>10.149999999999993</v>
      </c>
      <c r="K4" s="4" t="s">
        <v>30</v>
      </c>
    </row>
    <row r="5" spans="1:19" x14ac:dyDescent="0.25">
      <c r="A5" t="s">
        <v>0</v>
      </c>
      <c r="B5" t="s">
        <v>28</v>
      </c>
      <c r="C5" t="s">
        <v>3</v>
      </c>
      <c r="D5" t="s">
        <v>24</v>
      </c>
      <c r="E5" t="s">
        <v>14</v>
      </c>
      <c r="F5" s="6">
        <v>0</v>
      </c>
      <c r="G5" s="6">
        <v>0</v>
      </c>
      <c r="H5" s="6">
        <f>83.3333333333333-SUM($H$2:H4)</f>
        <v>10</v>
      </c>
      <c r="I5" s="6">
        <f>68.3333333333333-SUM($I$2:I4)</f>
        <v>6.6666666666666998</v>
      </c>
      <c r="J5" s="6">
        <f>58.3333333333333-SUM($J$2:J4)</f>
        <v>10</v>
      </c>
    </row>
    <row r="6" spans="1:19" x14ac:dyDescent="0.25">
      <c r="A6" t="s">
        <v>0</v>
      </c>
      <c r="B6" t="s">
        <v>28</v>
      </c>
      <c r="C6" t="s">
        <v>4</v>
      </c>
      <c r="D6" t="s">
        <v>31</v>
      </c>
      <c r="E6" t="s">
        <v>14</v>
      </c>
      <c r="F6" s="6">
        <f>103.333333333333-SUM(F$2:$F4)</f>
        <v>13.333333333333002</v>
      </c>
      <c r="G6" s="6">
        <f>93.3333333333333-SUM($G$2:G4)</f>
        <v>10</v>
      </c>
      <c r="H6" s="6">
        <f>96.6666666666666-SUM($H$2:H5)</f>
        <v>13.3333333333333</v>
      </c>
      <c r="I6" s="6">
        <f>95-SUM($I$2:I5)</f>
        <v>26.6666666666667</v>
      </c>
      <c r="J6" s="6">
        <f>88.3333333333333-SUM($J$2:J5)</f>
        <v>30</v>
      </c>
    </row>
    <row r="7" spans="1:19" x14ac:dyDescent="0.25">
      <c r="A7" t="s">
        <v>0</v>
      </c>
      <c r="B7" t="s">
        <v>28</v>
      </c>
      <c r="C7" t="s">
        <v>46</v>
      </c>
      <c r="D7" t="s">
        <v>32</v>
      </c>
      <c r="E7" t="s">
        <v>14</v>
      </c>
      <c r="F7" s="6">
        <f>(131.666666666666-SUM(F$2:$F$6))*0.02</f>
        <v>0.5666666666666601</v>
      </c>
      <c r="G7" s="6">
        <f>(133.333333333333-SUM($G$2:G$6))*0.02</f>
        <v>0.79999999999999405</v>
      </c>
      <c r="H7" s="6">
        <f>(141.666666666666-SUM($H$2:H$6))*0.02</f>
        <v>0.89999999999998803</v>
      </c>
      <c r="I7" s="6">
        <f>(145-SUM($I$2:I$6))*0.02</f>
        <v>1</v>
      </c>
      <c r="J7" s="6">
        <f>(143.333333333333-SUM($J$2:J$6))*0.02</f>
        <v>1.0999999999999941</v>
      </c>
      <c r="K7" s="4" t="s">
        <v>36</v>
      </c>
    </row>
    <row r="8" spans="1:19" x14ac:dyDescent="0.25">
      <c r="A8" t="s">
        <v>0</v>
      </c>
      <c r="B8" t="s">
        <v>28</v>
      </c>
      <c r="C8" t="s">
        <v>47</v>
      </c>
      <c r="D8" t="s">
        <v>33</v>
      </c>
      <c r="E8" t="s">
        <v>14</v>
      </c>
      <c r="F8" s="6">
        <f>(131.666666666666-SUM(F$2:$F$6))*0.25</f>
        <v>7.0833333333332504</v>
      </c>
      <c r="G8" s="6">
        <f>(133.333333333333-SUM($G$2:G$6))*0.25</f>
        <v>9.9999999999999254</v>
      </c>
      <c r="H8" s="6">
        <f>(141.666666666666-SUM($H$2:H$6))*0.25</f>
        <v>11.249999999999851</v>
      </c>
      <c r="I8" s="6">
        <f>(145-SUM($I$2:I$6))*0.25</f>
        <v>12.5</v>
      </c>
      <c r="J8" s="6">
        <f>(143.333333333333-SUM($J$2:J$6))*0.25</f>
        <v>13.749999999999925</v>
      </c>
      <c r="K8" s="4" t="s">
        <v>37</v>
      </c>
    </row>
    <row r="9" spans="1:19" x14ac:dyDescent="0.25">
      <c r="A9" t="s">
        <v>0</v>
      </c>
      <c r="B9" t="s">
        <v>28</v>
      </c>
      <c r="C9" t="s">
        <v>48</v>
      </c>
      <c r="D9" t="s">
        <v>34</v>
      </c>
      <c r="E9" t="s">
        <v>14</v>
      </c>
      <c r="F9" s="6">
        <f>(131.666666666666-SUM(F$2:$F$6))*0.24</f>
        <v>6.7999999999999199</v>
      </c>
      <c r="G9" s="6">
        <f>(133.333333333333-SUM($G$2:G$6))*0.24</f>
        <v>9.5999999999999286</v>
      </c>
      <c r="H9" s="6">
        <f>(141.666666666666-SUM($H$2:H$6))*0.24</f>
        <v>10.799999999999857</v>
      </c>
      <c r="I9" s="6">
        <f>(145-SUM($I$2:I$6))*0.24</f>
        <v>12</v>
      </c>
      <c r="J9" s="6">
        <f>(143.333333333333-SUM($J$2:J$6))*0.24</f>
        <v>13.199999999999928</v>
      </c>
      <c r="K9" s="4" t="s">
        <v>38</v>
      </c>
    </row>
    <row r="10" spans="1:19" x14ac:dyDescent="0.25">
      <c r="A10" t="s">
        <v>0</v>
      </c>
      <c r="B10" t="s">
        <v>28</v>
      </c>
      <c r="C10" t="s">
        <v>49</v>
      </c>
      <c r="D10" t="s">
        <v>35</v>
      </c>
      <c r="E10" t="s">
        <v>14</v>
      </c>
      <c r="F10" s="6">
        <f>(131.666666666666-SUM(F$2:$F$6))*0.45</f>
        <v>12.749999999999851</v>
      </c>
      <c r="G10" s="6">
        <f>(133.333333333333-SUM($G$2:G$6))*0.45</f>
        <v>17.999999999999865</v>
      </c>
      <c r="H10" s="6">
        <f>(141.666666666666-SUM($H$2:H$6))*0.45</f>
        <v>20.249999999999734</v>
      </c>
      <c r="I10" s="6">
        <f>(145-SUM($I$2:I$6))*0.45</f>
        <v>22.5</v>
      </c>
      <c r="J10" s="6">
        <f>(143.333333333333-SUM($J$2:J$6))*0.45</f>
        <v>24.749999999999865</v>
      </c>
      <c r="K10" s="4" t="s">
        <v>39</v>
      </c>
    </row>
    <row r="11" spans="1:19" x14ac:dyDescent="0.25">
      <c r="A11" t="s">
        <v>0</v>
      </c>
      <c r="B11" t="s">
        <v>28</v>
      </c>
      <c r="C11" t="s">
        <v>50</v>
      </c>
      <c r="D11" t="s">
        <v>21</v>
      </c>
      <c r="E11" t="s">
        <v>14</v>
      </c>
      <c r="F11" s="6">
        <f>(131.666666666666-SUM(F$2:$F$6))*0.02</f>
        <v>0.5666666666666601</v>
      </c>
      <c r="G11" s="6">
        <f>(133.333333333333-SUM($G$2:G$6))*0.02</f>
        <v>0.79999999999999405</v>
      </c>
      <c r="H11" s="6">
        <f>(141.666666666666-SUM($H$2:H$6))*0.02</f>
        <v>0.89999999999998803</v>
      </c>
      <c r="I11" s="6">
        <f>(145-SUM($I$2:I$6))*0.02</f>
        <v>1</v>
      </c>
      <c r="J11" s="6">
        <f>(143.333333333333-SUM($J$2:J$6))*0.02</f>
        <v>1.0999999999999941</v>
      </c>
      <c r="K11" s="4" t="s">
        <v>36</v>
      </c>
    </row>
    <row r="12" spans="1:19" x14ac:dyDescent="0.25">
      <c r="A12" t="s">
        <v>0</v>
      </c>
      <c r="B12" t="s">
        <v>28</v>
      </c>
      <c r="C12" t="s">
        <v>6</v>
      </c>
      <c r="D12" t="s">
        <v>22</v>
      </c>
      <c r="E12" t="s">
        <v>14</v>
      </c>
      <c r="F12" s="6">
        <f>143.333333333333-SUM(F$2:$F11)</f>
        <v>12.233333333333633</v>
      </c>
      <c r="G12" s="6">
        <f>153.333333333333-SUM($G$2:G11)</f>
        <v>20.800000000000011</v>
      </c>
      <c r="H12" s="6">
        <f>165-SUM($H$2:H11)</f>
        <v>24.233333333334002</v>
      </c>
      <c r="I12" s="6">
        <f>173.333333333333-SUM($I$2:I11)</f>
        <v>29.333333333333002</v>
      </c>
      <c r="J12" s="6">
        <f>185-SUM($J$2:J11)</f>
        <v>42.766666666666993</v>
      </c>
    </row>
    <row r="13" spans="1:19" x14ac:dyDescent="0.25">
      <c r="A13" t="s">
        <v>0</v>
      </c>
      <c r="B13" t="s">
        <v>28</v>
      </c>
      <c r="C13" t="s">
        <v>7</v>
      </c>
      <c r="D13" t="s">
        <v>23</v>
      </c>
      <c r="E13" t="s">
        <v>14</v>
      </c>
      <c r="F13" s="6">
        <v>0</v>
      </c>
      <c r="G13" s="6">
        <v>0</v>
      </c>
      <c r="H13" s="6">
        <f>181.666666666666-171.666666666666</f>
        <v>10</v>
      </c>
      <c r="I13" s="6">
        <f>206.666666666666-188.333333333333</f>
        <v>18.333333333333002</v>
      </c>
      <c r="J13" s="6">
        <f>225-201.666666666666</f>
        <v>23.333333333333997</v>
      </c>
      <c r="S13" s="8"/>
    </row>
    <row r="14" spans="1:19" x14ac:dyDescent="0.25">
      <c r="F14" s="7">
        <f>SUM(F2:F13)</f>
        <v>143.333333333333</v>
      </c>
      <c r="G14" s="7">
        <f>SUM(G2:G13)</f>
        <v>153.333333333333</v>
      </c>
      <c r="H14" s="7">
        <f>SUM(H2:H13)</f>
        <v>175</v>
      </c>
      <c r="I14" s="7">
        <f>SUM(I2:I13)</f>
        <v>191.666666666666</v>
      </c>
      <c r="J14" s="7">
        <f>SUM(J2:J13)</f>
        <v>208.333333333334</v>
      </c>
    </row>
    <row r="15" spans="1:19" x14ac:dyDescent="0.25">
      <c r="F15" s="7"/>
      <c r="G15" s="7"/>
      <c r="H15" s="7"/>
      <c r="I15" s="7"/>
      <c r="J15" s="7"/>
    </row>
    <row r="16" spans="1:19" x14ac:dyDescent="0.25">
      <c r="A16" t="s">
        <v>9</v>
      </c>
      <c r="B16" t="s">
        <v>28</v>
      </c>
      <c r="C16" t="s">
        <v>1</v>
      </c>
      <c r="D16" t="s">
        <v>16</v>
      </c>
      <c r="E16" t="s">
        <v>14</v>
      </c>
      <c r="F16" s="6">
        <f>F2</f>
        <v>6.6666666666666599</v>
      </c>
      <c r="G16" s="6">
        <v>11.2903225806451</v>
      </c>
      <c r="H16" s="6">
        <v>0</v>
      </c>
      <c r="I16" s="6">
        <v>0</v>
      </c>
      <c r="J16" s="6">
        <v>0</v>
      </c>
    </row>
    <row r="17" spans="1:11" x14ac:dyDescent="0.25">
      <c r="A17" t="s">
        <v>9</v>
      </c>
      <c r="B17" t="s">
        <v>28</v>
      </c>
      <c r="C17" t="s">
        <v>44</v>
      </c>
      <c r="D17" t="s">
        <v>17</v>
      </c>
      <c r="E17" t="s">
        <v>14</v>
      </c>
      <c r="F17" s="6">
        <f t="shared" ref="F17:F27" si="0">F3</f>
        <v>65.833333333333343</v>
      </c>
      <c r="G17" s="6">
        <f>(85.4838709677419-G16)*0.79</f>
        <v>58.61290322580647</v>
      </c>
      <c r="H17" s="6">
        <f>(77.4193548387096-H16)*0.79</f>
        <v>61.161290322580584</v>
      </c>
      <c r="I17" s="6">
        <f>(69.3548387096774-I16)*0.79</f>
        <v>54.790322580645146</v>
      </c>
      <c r="J17" s="6">
        <f>(56.4516129032258-J16)*0.79</f>
        <v>44.596774193548384</v>
      </c>
    </row>
    <row r="18" spans="1:11" x14ac:dyDescent="0.25">
      <c r="A18" t="s">
        <v>9</v>
      </c>
      <c r="B18" t="s">
        <v>28</v>
      </c>
      <c r="C18" t="s">
        <v>45</v>
      </c>
      <c r="D18" t="s">
        <v>18</v>
      </c>
      <c r="E18" t="s">
        <v>14</v>
      </c>
      <c r="F18" s="6">
        <f t="shared" si="0"/>
        <v>17.5</v>
      </c>
      <c r="G18" s="6">
        <f>(85.4838709677419-G16)*0.21</f>
        <v>15.580645161290327</v>
      </c>
      <c r="H18" s="6">
        <f>(77.4193548387096-H16)*0.21</f>
        <v>16.258064516129014</v>
      </c>
      <c r="I18" s="6">
        <f>(69.3548387096774-I16)*0.21</f>
        <v>14.564516129032253</v>
      </c>
      <c r="J18" s="6">
        <f>(56.4516129032258-J16)*0.21</f>
        <v>11.854838709677418</v>
      </c>
    </row>
    <row r="19" spans="1:11" x14ac:dyDescent="0.25">
      <c r="A19" t="s">
        <v>9</v>
      </c>
      <c r="B19" t="s">
        <v>28</v>
      </c>
      <c r="C19" t="s">
        <v>3</v>
      </c>
      <c r="D19" t="s">
        <v>24</v>
      </c>
      <c r="E19" t="s">
        <v>14</v>
      </c>
      <c r="F19" s="6">
        <f t="shared" si="0"/>
        <v>0</v>
      </c>
      <c r="G19" s="6">
        <v>0</v>
      </c>
      <c r="H19" s="6">
        <f>83.8709677419354-SUM($H$16:H18)</f>
        <v>6.4516129032258078</v>
      </c>
      <c r="I19" s="6">
        <f>77.4193548387096-SUM($I$16:I18)</f>
        <v>8.0645161290321994</v>
      </c>
      <c r="J19" s="6">
        <f>69.3548387096774-SUM($J$16:J18)</f>
        <v>12.903225806451594</v>
      </c>
    </row>
    <row r="20" spans="1:11" x14ac:dyDescent="0.25">
      <c r="A20" t="s">
        <v>9</v>
      </c>
      <c r="B20" t="s">
        <v>28</v>
      </c>
      <c r="C20" t="s">
        <v>4</v>
      </c>
      <c r="D20" t="s">
        <v>31</v>
      </c>
      <c r="E20" t="s">
        <v>14</v>
      </c>
      <c r="F20" s="6">
        <f t="shared" si="0"/>
        <v>13.333333333333002</v>
      </c>
      <c r="G20" s="6">
        <f>98.3870967741935-SUM($G$16:G19)</f>
        <v>12.903225806451601</v>
      </c>
      <c r="H20" s="6">
        <f>98.3870967741935-SUM($H$16:H19)</f>
        <v>14.516129032258092</v>
      </c>
      <c r="I20" s="6">
        <f>104.838709677419-SUM($I$16:I19)</f>
        <v>27.41935483870941</v>
      </c>
      <c r="J20" s="6">
        <f>104.838709677419-SUM($J$16:J19)</f>
        <v>35.483870967741609</v>
      </c>
    </row>
    <row r="21" spans="1:11" x14ac:dyDescent="0.25">
      <c r="A21" t="s">
        <v>9</v>
      </c>
      <c r="B21" t="s">
        <v>28</v>
      </c>
      <c r="C21" t="s">
        <v>46</v>
      </c>
      <c r="D21" t="s">
        <v>32</v>
      </c>
      <c r="E21" t="s">
        <v>14</v>
      </c>
      <c r="F21" s="6">
        <f t="shared" si="0"/>
        <v>0.5666666666666601</v>
      </c>
      <c r="G21" s="6">
        <f>(135.483870967741-SUM($G$16:G$20))*0.02</f>
        <v>0.74193548387095032</v>
      </c>
      <c r="H21" s="6">
        <f>(141.935483870967-SUM($H$16:H$20))*0.02</f>
        <v>0.87096774193547022</v>
      </c>
      <c r="I21" s="6">
        <f>(156.451612903225-SUM($I$16:I$20))*0.02</f>
        <v>1.0322580645161199</v>
      </c>
      <c r="J21" s="6">
        <f>(169.354838709677-SUM($J$16:J$20))*0.02</f>
        <v>1.2903225806451601</v>
      </c>
      <c r="K21" s="4" t="s">
        <v>36</v>
      </c>
    </row>
    <row r="22" spans="1:11" x14ac:dyDescent="0.25">
      <c r="A22" t="s">
        <v>9</v>
      </c>
      <c r="B22" t="s">
        <v>28</v>
      </c>
      <c r="C22" t="s">
        <v>47</v>
      </c>
      <c r="D22" t="s">
        <v>33</v>
      </c>
      <c r="E22" t="s">
        <v>14</v>
      </c>
      <c r="F22" s="6">
        <f t="shared" si="0"/>
        <v>7.0833333333332504</v>
      </c>
      <c r="G22" s="6">
        <f>(135.483870967741-SUM($G$16:G$20))*0.25</f>
        <v>9.2741935483868794</v>
      </c>
      <c r="H22" s="6">
        <f>(141.935483870967-SUM($H$16:H$20))*0.25</f>
        <v>10.887096774193378</v>
      </c>
      <c r="I22" s="6">
        <f>(156.451612903225-SUM($I$16:I$20))*0.25</f>
        <v>12.903225806451498</v>
      </c>
      <c r="J22" s="6">
        <f>(169.354838709677-SUM($J$16:J$20))*0.25</f>
        <v>16.129032258064502</v>
      </c>
      <c r="K22" s="4" t="s">
        <v>37</v>
      </c>
    </row>
    <row r="23" spans="1:11" x14ac:dyDescent="0.25">
      <c r="A23" t="s">
        <v>9</v>
      </c>
      <c r="B23" t="s">
        <v>28</v>
      </c>
      <c r="C23" t="s">
        <v>48</v>
      </c>
      <c r="D23" t="s">
        <v>34</v>
      </c>
      <c r="E23" t="s">
        <v>14</v>
      </c>
      <c r="F23" s="6">
        <f t="shared" si="0"/>
        <v>6.7999999999999199</v>
      </c>
      <c r="G23" s="6">
        <f>(135.483870967741-SUM($G$16:G$20))*0.24</f>
        <v>8.9032258064514043</v>
      </c>
      <c r="H23" s="6">
        <f>(141.935483870967-SUM($H$16:H$20))*0.24</f>
        <v>10.451612903225643</v>
      </c>
      <c r="I23" s="6">
        <f>(156.451612903225-SUM($I$16:I$20))*0.24</f>
        <v>12.387096774193438</v>
      </c>
      <c r="J23" s="6">
        <f>(169.354838709677-SUM($J$16:J$20))*0.24</f>
        <v>15.483870967741922</v>
      </c>
      <c r="K23" s="4" t="s">
        <v>38</v>
      </c>
    </row>
    <row r="24" spans="1:11" x14ac:dyDescent="0.25">
      <c r="A24" t="s">
        <v>9</v>
      </c>
      <c r="B24" t="s">
        <v>28</v>
      </c>
      <c r="C24" t="s">
        <v>49</v>
      </c>
      <c r="D24" t="s">
        <v>35</v>
      </c>
      <c r="E24" t="s">
        <v>14</v>
      </c>
      <c r="F24" s="6">
        <f t="shared" si="0"/>
        <v>12.749999999999851</v>
      </c>
      <c r="G24" s="6">
        <f>(135.483870967741-SUM($G$16:G$20))*0.45</f>
        <v>16.693548387096385</v>
      </c>
      <c r="H24" s="6">
        <f>(141.935483870967-SUM($H$16:H$20))*0.45</f>
        <v>19.596774193548079</v>
      </c>
      <c r="I24" s="6">
        <f>(156.451612903225-SUM($I$16:I$20))*0.45</f>
        <v>23.225806451612698</v>
      </c>
      <c r="J24" s="6">
        <f>(169.354838709677-SUM($J$16:J$20))*0.45</f>
        <v>29.032258064516103</v>
      </c>
      <c r="K24" s="4" t="s">
        <v>39</v>
      </c>
    </row>
    <row r="25" spans="1:11" x14ac:dyDescent="0.25">
      <c r="A25" t="s">
        <v>9</v>
      </c>
      <c r="B25" t="s">
        <v>28</v>
      </c>
      <c r="C25" t="s">
        <v>50</v>
      </c>
      <c r="D25" t="s">
        <v>21</v>
      </c>
      <c r="E25" t="s">
        <v>14</v>
      </c>
      <c r="F25" s="6">
        <f t="shared" si="0"/>
        <v>0.5666666666666601</v>
      </c>
      <c r="G25" s="6">
        <f>(135.483870967741-SUM($G$16:G$20))*0.02</f>
        <v>0.74193548387095032</v>
      </c>
      <c r="H25" s="6">
        <f>(141.935483870967-SUM($H$16:H$20))*0.02</f>
        <v>0.87096774193547022</v>
      </c>
      <c r="I25" s="6">
        <f>(156.451612903225-SUM($I$16:I$20))*0.02</f>
        <v>1.0322580645161199</v>
      </c>
      <c r="J25" s="6">
        <f>(169.354838709677-SUM($J$16:J$20))*0.02</f>
        <v>1.2903225806451601</v>
      </c>
      <c r="K25" s="4" t="s">
        <v>36</v>
      </c>
    </row>
    <row r="26" spans="1:11" x14ac:dyDescent="0.25">
      <c r="A26" t="s">
        <v>9</v>
      </c>
      <c r="B26" t="s">
        <v>28</v>
      </c>
      <c r="C26" t="s">
        <v>6</v>
      </c>
      <c r="D26" t="s">
        <v>22</v>
      </c>
      <c r="E26" t="s">
        <v>14</v>
      </c>
      <c r="F26" s="6">
        <f t="shared" si="0"/>
        <v>12.233333333333633</v>
      </c>
      <c r="G26" s="6">
        <f>153.225806451612-SUM($G$16:G25)</f>
        <v>18.48387096774195</v>
      </c>
      <c r="H26" s="6">
        <f>169.354838709677-SUM($H$16:H25)</f>
        <v>28.290322580645494</v>
      </c>
      <c r="I26" s="6">
        <f>191.935483870967-SUM($I$16:I25)</f>
        <v>36.516129032258135</v>
      </c>
      <c r="J26" s="6">
        <f>230.645161290322-SUM($J$16:J25)</f>
        <v>62.580645161290164</v>
      </c>
    </row>
    <row r="27" spans="1:11" x14ac:dyDescent="0.25">
      <c r="A27" t="s">
        <v>9</v>
      </c>
      <c r="B27" t="s">
        <v>28</v>
      </c>
      <c r="C27" t="s">
        <v>7</v>
      </c>
      <c r="D27" t="s">
        <v>23</v>
      </c>
      <c r="E27" t="s">
        <v>14</v>
      </c>
      <c r="F27" s="6">
        <f t="shared" si="0"/>
        <v>0</v>
      </c>
      <c r="G27" s="6">
        <f>159.677419354838-SUM($G$16:G26)</f>
        <v>6.451612903226021</v>
      </c>
      <c r="H27" s="6">
        <f>185.483870967741-174.193548387096</f>
        <v>11.290322580645011</v>
      </c>
      <c r="I27" s="6">
        <f>233.870967741935-208.064516129032</f>
        <v>25.806451612903004</v>
      </c>
      <c r="J27" s="6">
        <f>295.16129032258-253.225806451612</f>
        <v>41.935483870968</v>
      </c>
    </row>
    <row r="28" spans="1:11" x14ac:dyDescent="0.25">
      <c r="F28" s="7">
        <f>SUM(F16:F27)</f>
        <v>143.333333333333</v>
      </c>
      <c r="G28" s="7">
        <f>SUM(G16:G27)</f>
        <v>159.67741935483801</v>
      </c>
      <c r="H28" s="7">
        <f>SUM(H16:H27)</f>
        <v>180.64516129032202</v>
      </c>
      <c r="I28" s="7">
        <f>SUM(I16:I27)</f>
        <v>217.74193548387001</v>
      </c>
      <c r="J28" s="7">
        <f>SUM(J16:J27)</f>
        <v>272.58064516129002</v>
      </c>
    </row>
    <row r="30" spans="1:11" x14ac:dyDescent="0.25">
      <c r="D30" t="s">
        <v>40</v>
      </c>
    </row>
    <row r="31" spans="1:11" x14ac:dyDescent="0.25">
      <c r="D31" t="s">
        <v>41</v>
      </c>
      <c r="E31" s="2">
        <v>2020</v>
      </c>
      <c r="F31" s="2">
        <v>2025</v>
      </c>
      <c r="G31" s="2">
        <v>2030</v>
      </c>
      <c r="H31" s="2">
        <v>2035</v>
      </c>
      <c r="I31" s="2">
        <v>2040</v>
      </c>
    </row>
    <row r="32" spans="1:11" x14ac:dyDescent="0.25">
      <c r="C32" t="s">
        <v>0</v>
      </c>
      <c r="D32" t="s">
        <v>15</v>
      </c>
      <c r="E32" s="5">
        <f>F2/SUM(F$2:F$13)</f>
        <v>4.6511627906976806E-2</v>
      </c>
      <c r="F32" s="5">
        <f>G2/SUM(G$2:G$13)</f>
        <v>6.5217391304347963E-2</v>
      </c>
      <c r="G32" s="5">
        <f>H2/SUM(H$2:H$13)</f>
        <v>0</v>
      </c>
      <c r="H32" s="5">
        <f>I2/SUM(I$2:I$13)</f>
        <v>0</v>
      </c>
      <c r="I32" s="5">
        <f>J2/SUM(J$2:J$13)</f>
        <v>0</v>
      </c>
    </row>
    <row r="33" spans="3:9" x14ac:dyDescent="0.25">
      <c r="C33" t="s">
        <v>0</v>
      </c>
      <c r="D33" t="s">
        <v>2</v>
      </c>
      <c r="E33" s="5">
        <f>(F3+F4)/SUM(F$2:F$13)</f>
        <v>0.58139534883721067</v>
      </c>
      <c r="F33" s="5">
        <f t="shared" ref="F33:I33" si="1">(G3+G4)/SUM(G$2:G$13)</f>
        <v>0.47826086956521818</v>
      </c>
      <c r="G33" s="5">
        <f t="shared" si="1"/>
        <v>0.41904761904761884</v>
      </c>
      <c r="H33" s="5">
        <f t="shared" si="1"/>
        <v>0.32173913043478336</v>
      </c>
      <c r="I33" s="5">
        <f t="shared" si="1"/>
        <v>0.2319999999999991</v>
      </c>
    </row>
    <row r="34" spans="3:9" x14ac:dyDescent="0.25">
      <c r="C34" t="s">
        <v>0</v>
      </c>
      <c r="D34" s="3" t="s">
        <v>3</v>
      </c>
      <c r="E34" s="5">
        <f>F5/SUM(F$2:F$13)</f>
        <v>0</v>
      </c>
      <c r="F34" s="5">
        <f t="shared" ref="F34:I35" si="2">G5/SUM(G$2:G$13)</f>
        <v>0</v>
      </c>
      <c r="G34" s="5">
        <f t="shared" si="2"/>
        <v>5.7142857142857141E-2</v>
      </c>
      <c r="H34" s="5">
        <f t="shared" si="2"/>
        <v>3.4782608695652466E-2</v>
      </c>
      <c r="I34" s="5">
        <f t="shared" si="2"/>
        <v>4.7999999999999848E-2</v>
      </c>
    </row>
    <row r="35" spans="3:9" x14ac:dyDescent="0.25">
      <c r="C35" t="s">
        <v>0</v>
      </c>
      <c r="D35" s="9" t="s">
        <v>4</v>
      </c>
      <c r="E35" s="5">
        <f>F6/SUM(F$2:F$13)</f>
        <v>9.3023255813951392E-2</v>
      </c>
      <c r="F35" s="5">
        <f t="shared" si="2"/>
        <v>6.5217391304347963E-2</v>
      </c>
      <c r="G35" s="5">
        <f t="shared" si="2"/>
        <v>7.6190476190476003E-2</v>
      </c>
      <c r="H35" s="5">
        <f t="shared" si="2"/>
        <v>0.13913043478260936</v>
      </c>
      <c r="I35" s="5">
        <f t="shared" si="2"/>
        <v>0.14399999999999955</v>
      </c>
    </row>
    <row r="36" spans="3:9" x14ac:dyDescent="0.25">
      <c r="C36" t="s">
        <v>0</v>
      </c>
      <c r="D36" t="s">
        <v>5</v>
      </c>
      <c r="E36" s="5">
        <f>SUM(F7:F11)/SUM(F$2:F$13)</f>
        <v>0.19372093023255632</v>
      </c>
      <c r="F36" s="5">
        <f t="shared" ref="F36:I36" si="3">SUM(G7:G11)/SUM(G$2:G$13)</f>
        <v>0.25565217391304212</v>
      </c>
      <c r="G36" s="5">
        <f t="shared" si="3"/>
        <v>0.25199999999999673</v>
      </c>
      <c r="H36" s="5">
        <f t="shared" si="3"/>
        <v>0.25565217391304434</v>
      </c>
      <c r="I36" s="5">
        <f t="shared" si="3"/>
        <v>0.25871999999999779</v>
      </c>
    </row>
    <row r="37" spans="3:9" x14ac:dyDescent="0.25">
      <c r="C37" t="s">
        <v>0</v>
      </c>
      <c r="D37" t="s">
        <v>6</v>
      </c>
      <c r="E37" s="5">
        <f>F12/SUM(F$2:F$13)</f>
        <v>8.5348837209304612E-2</v>
      </c>
      <c r="F37" s="5">
        <f t="shared" ref="F37:I37" si="4">G12/SUM(G$2:G$13)</f>
        <v>0.13565217391304385</v>
      </c>
      <c r="G37" s="5">
        <f t="shared" si="4"/>
        <v>0.13847619047619431</v>
      </c>
      <c r="H37" s="5">
        <f t="shared" si="4"/>
        <v>0.15304347826086837</v>
      </c>
      <c r="I37" s="5">
        <f t="shared" si="4"/>
        <v>0.20528000000000091</v>
      </c>
    </row>
    <row r="38" spans="3:9" x14ac:dyDescent="0.25">
      <c r="C38" t="s">
        <v>0</v>
      </c>
      <c r="D38" t="s">
        <v>42</v>
      </c>
      <c r="E38" s="5">
        <f>F13/SUM(F$2:F$13)</f>
        <v>0</v>
      </c>
      <c r="F38" s="5">
        <f t="shared" ref="F38:I38" si="5">G13/SUM(G$2:G$13)</f>
        <v>0</v>
      </c>
      <c r="G38" s="5">
        <f t="shared" si="5"/>
        <v>5.7142857142857141E-2</v>
      </c>
      <c r="H38" s="5">
        <f t="shared" si="5"/>
        <v>9.565217391304208E-2</v>
      </c>
      <c r="I38" s="5">
        <f t="shared" si="5"/>
        <v>0.11200000000000283</v>
      </c>
    </row>
    <row r="40" spans="3:9" x14ac:dyDescent="0.25">
      <c r="C40" t="s">
        <v>9</v>
      </c>
      <c r="D40" t="s">
        <v>15</v>
      </c>
      <c r="E40" s="5">
        <f>F16/SUM(F$16:F$27)</f>
        <v>4.6511627906976806E-2</v>
      </c>
      <c r="F40" s="5">
        <f t="shared" ref="F40:I40" si="6">G16/SUM(G$16:G$27)</f>
        <v>7.0707070707070635E-2</v>
      </c>
      <c r="G40" s="5">
        <f t="shared" si="6"/>
        <v>0</v>
      </c>
      <c r="H40" s="5">
        <f t="shared" si="6"/>
        <v>0</v>
      </c>
      <c r="I40" s="5">
        <f t="shared" si="6"/>
        <v>0</v>
      </c>
    </row>
    <row r="41" spans="3:9" x14ac:dyDescent="0.25">
      <c r="C41" t="s">
        <v>9</v>
      </c>
      <c r="D41" t="s">
        <v>2</v>
      </c>
      <c r="E41" s="5">
        <f>(F17+F18)/SUM(F$16:F$27)</f>
        <v>0.58139534883721067</v>
      </c>
      <c r="F41" s="5">
        <f t="shared" ref="F41:I41" si="7">(G17+G18)/SUM(G$16:G$27)</f>
        <v>0.46464646464646681</v>
      </c>
      <c r="G41" s="5">
        <f t="shared" si="7"/>
        <v>0.42857142857142944</v>
      </c>
      <c r="H41" s="5">
        <f t="shared" si="7"/>
        <v>0.31851851851851981</v>
      </c>
      <c r="I41" s="5">
        <f t="shared" si="7"/>
        <v>0.20710059171597653</v>
      </c>
    </row>
    <row r="42" spans="3:9" x14ac:dyDescent="0.25">
      <c r="C42" t="s">
        <v>9</v>
      </c>
      <c r="D42" s="3" t="s">
        <v>3</v>
      </c>
      <c r="E42" s="5">
        <f>F19/SUM(F$16:F$27)</f>
        <v>0</v>
      </c>
      <c r="F42" s="5">
        <f t="shared" ref="F42:I43" si="8">G19/SUM(G$16:G$27)</f>
        <v>0</v>
      </c>
      <c r="G42" s="5">
        <f t="shared" si="8"/>
        <v>3.571428571428583E-2</v>
      </c>
      <c r="H42" s="5">
        <f t="shared" si="8"/>
        <v>3.7037037037036931E-2</v>
      </c>
      <c r="I42" s="5">
        <f t="shared" si="8"/>
        <v>4.7337278106508861E-2</v>
      </c>
    </row>
    <row r="43" spans="3:9" x14ac:dyDescent="0.25">
      <c r="C43" t="s">
        <v>9</v>
      </c>
      <c r="D43" s="9" t="s">
        <v>4</v>
      </c>
      <c r="E43" s="5">
        <f>F20/SUM(F$16:F$27)</f>
        <v>9.3023255813951392E-2</v>
      </c>
      <c r="F43" s="5">
        <f t="shared" si="8"/>
        <v>8.0808080808081093E-2</v>
      </c>
      <c r="G43" s="5">
        <f t="shared" si="8"/>
        <v>8.0357142857143266E-2</v>
      </c>
      <c r="H43" s="5">
        <f t="shared" si="8"/>
        <v>0.12592592592592525</v>
      </c>
      <c r="I43" s="5">
        <f t="shared" si="8"/>
        <v>0.13017751479289835</v>
      </c>
    </row>
    <row r="44" spans="3:9" x14ac:dyDescent="0.25">
      <c r="C44" t="s">
        <v>9</v>
      </c>
      <c r="D44" t="s">
        <v>5</v>
      </c>
      <c r="E44" s="5">
        <f>SUM(F21:F25)/SUM(F$16:F$27)</f>
        <v>0.19372093023255632</v>
      </c>
      <c r="F44" s="5">
        <f t="shared" ref="F44:I44" si="9">SUM(G21:G25)/SUM(G$16:G$27)</f>
        <v>0.22767676767676337</v>
      </c>
      <c r="G44" s="5">
        <f t="shared" si="9"/>
        <v>0.23624999999999705</v>
      </c>
      <c r="H44" s="5">
        <f t="shared" si="9"/>
        <v>0.23229629629629525</v>
      </c>
      <c r="I44" s="5">
        <f t="shared" si="9"/>
        <v>0.23195266272189355</v>
      </c>
    </row>
    <row r="45" spans="3:9" x14ac:dyDescent="0.25">
      <c r="C45" t="s">
        <v>9</v>
      </c>
      <c r="D45" t="s">
        <v>6</v>
      </c>
      <c r="E45" s="5">
        <f>SUM(F26)/SUM(F$16:F$27)</f>
        <v>8.5348837209304612E-2</v>
      </c>
      <c r="F45" s="5">
        <f t="shared" ref="F45:I45" si="10">SUM(G26)/SUM(G$16:G$27)</f>
        <v>0.11575757575757636</v>
      </c>
      <c r="G45" s="5">
        <f t="shared" si="10"/>
        <v>0.15660714285714519</v>
      </c>
      <c r="H45" s="5">
        <f t="shared" si="10"/>
        <v>0.16770370370370477</v>
      </c>
      <c r="I45" s="5">
        <f t="shared" si="10"/>
        <v>0.22958579881656771</v>
      </c>
    </row>
    <row r="46" spans="3:9" x14ac:dyDescent="0.25">
      <c r="C46" t="s">
        <v>9</v>
      </c>
      <c r="D46" t="s">
        <v>42</v>
      </c>
      <c r="E46" s="5">
        <f>F27/SUM(F$16:F$27)</f>
        <v>0</v>
      </c>
      <c r="F46" s="5">
        <f t="shared" ref="F46:I46" si="11">G27/SUM(G$16:G$27)</f>
        <v>4.0404040404041927E-2</v>
      </c>
      <c r="G46" s="5">
        <f t="shared" si="11"/>
        <v>6.2499999999999362E-2</v>
      </c>
      <c r="H46" s="5">
        <f t="shared" si="11"/>
        <v>0.11851851851851802</v>
      </c>
      <c r="I46" s="5">
        <f t="shared" si="11"/>
        <v>0.15384615384615496</v>
      </c>
    </row>
    <row r="52" spans="16:16" x14ac:dyDescent="0.25">
      <c r="P52" s="8"/>
    </row>
    <row r="53" spans="16:16" x14ac:dyDescent="0.25">
      <c r="P53" s="8"/>
    </row>
    <row r="54" spans="16:16" x14ac:dyDescent="0.25">
      <c r="P54" s="8"/>
    </row>
    <row r="55" spans="16:16" x14ac:dyDescent="0.25">
      <c r="P55" s="8"/>
    </row>
    <row r="56" spans="16:16" x14ac:dyDescent="0.25">
      <c r="P56" s="8"/>
    </row>
  </sheetData>
  <conditionalFormatting sqref="E32:I38">
    <cfRule type="colorScale" priority="15">
      <colorScale>
        <cfvo type="min"/>
        <cfvo type="max"/>
        <color rgb="FFFFEF9C"/>
        <color rgb="FF63BE7B"/>
      </colorScale>
    </cfRule>
  </conditionalFormatting>
  <conditionalFormatting sqref="E40:I46">
    <cfRule type="colorScale" priority="1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B6AD-9696-4420-B0DA-8D6B4B5903F5}">
  <dimension ref="A1:M57"/>
  <sheetViews>
    <sheetView workbookViewId="0">
      <selection activeCell="J16" sqref="J16:N27"/>
    </sheetView>
  </sheetViews>
  <sheetFormatPr defaultRowHeight="15" x14ac:dyDescent="0.25"/>
  <cols>
    <col min="3" max="3" width="46.7109375" bestFit="1" customWidth="1"/>
    <col min="4" max="4" width="9.7109375" bestFit="1" customWidth="1"/>
  </cols>
  <sheetData>
    <row r="1" spans="1:13" x14ac:dyDescent="0.25">
      <c r="A1" t="s">
        <v>10</v>
      </c>
      <c r="B1" t="s">
        <v>11</v>
      </c>
      <c r="C1" t="s">
        <v>13</v>
      </c>
      <c r="D1" t="s">
        <v>52</v>
      </c>
      <c r="E1">
        <v>2020</v>
      </c>
      <c r="F1">
        <v>2025</v>
      </c>
      <c r="G1">
        <v>2030</v>
      </c>
      <c r="H1">
        <v>2035</v>
      </c>
    </row>
    <row r="2" spans="1:13" x14ac:dyDescent="0.25">
      <c r="A2" t="s">
        <v>0</v>
      </c>
      <c r="B2" t="s">
        <v>12</v>
      </c>
      <c r="C2" t="s">
        <v>16</v>
      </c>
      <c r="D2" t="s">
        <v>14</v>
      </c>
      <c r="E2">
        <v>27.08</v>
      </c>
      <c r="F2">
        <v>11.46</v>
      </c>
      <c r="G2">
        <v>0</v>
      </c>
      <c r="H2">
        <v>0</v>
      </c>
    </row>
    <row r="3" spans="1:13" x14ac:dyDescent="0.25">
      <c r="A3" t="s">
        <v>0</v>
      </c>
      <c r="B3" t="s">
        <v>12</v>
      </c>
      <c r="C3" t="s">
        <v>17</v>
      </c>
      <c r="D3" t="s">
        <v>14</v>
      </c>
      <c r="E3">
        <v>9.69</v>
      </c>
      <c r="F3">
        <v>8.39</v>
      </c>
      <c r="G3">
        <v>8.2200000000000006</v>
      </c>
      <c r="H3">
        <v>9</v>
      </c>
    </row>
    <row r="4" spans="1:13" x14ac:dyDescent="0.25">
      <c r="A4" t="s">
        <v>0</v>
      </c>
      <c r="B4" t="s">
        <v>12</v>
      </c>
      <c r="C4" t="s">
        <v>18</v>
      </c>
      <c r="D4" t="s">
        <v>14</v>
      </c>
      <c r="E4">
        <v>5.94</v>
      </c>
      <c r="F4">
        <v>5.15</v>
      </c>
      <c r="G4">
        <v>5.04</v>
      </c>
      <c r="H4">
        <v>5.52</v>
      </c>
    </row>
    <row r="5" spans="1:13" x14ac:dyDescent="0.25">
      <c r="A5" t="s">
        <v>0</v>
      </c>
      <c r="B5" t="s">
        <v>12</v>
      </c>
      <c r="C5" t="s">
        <v>24</v>
      </c>
      <c r="D5" t="s">
        <v>14</v>
      </c>
      <c r="E5">
        <v>5.21</v>
      </c>
      <c r="F5">
        <v>7.29</v>
      </c>
      <c r="G5">
        <v>9.4700000000000006</v>
      </c>
      <c r="H5">
        <v>9.44</v>
      </c>
    </row>
    <row r="6" spans="1:13" x14ac:dyDescent="0.25">
      <c r="A6" t="s">
        <v>0</v>
      </c>
      <c r="B6" t="s">
        <v>12</v>
      </c>
      <c r="C6" t="s">
        <v>31</v>
      </c>
      <c r="D6" t="s">
        <v>14</v>
      </c>
      <c r="E6">
        <v>0</v>
      </c>
      <c r="F6">
        <v>0</v>
      </c>
      <c r="G6">
        <v>0</v>
      </c>
      <c r="H6">
        <v>0</v>
      </c>
    </row>
    <row r="7" spans="1:13" x14ac:dyDescent="0.25">
      <c r="A7" t="s">
        <v>0</v>
      </c>
      <c r="B7" t="s">
        <v>12</v>
      </c>
      <c r="C7" t="s">
        <v>32</v>
      </c>
      <c r="D7" t="s">
        <v>14</v>
      </c>
      <c r="E7">
        <v>0</v>
      </c>
      <c r="F7">
        <v>0</v>
      </c>
      <c r="G7">
        <v>0</v>
      </c>
      <c r="H7">
        <v>0</v>
      </c>
    </row>
    <row r="8" spans="1:13" x14ac:dyDescent="0.25">
      <c r="A8" t="s">
        <v>0</v>
      </c>
      <c r="B8" t="s">
        <v>12</v>
      </c>
      <c r="C8" t="s">
        <v>33</v>
      </c>
      <c r="D8" t="s">
        <v>14</v>
      </c>
      <c r="E8">
        <v>0</v>
      </c>
      <c r="F8">
        <v>0</v>
      </c>
      <c r="G8">
        <v>0</v>
      </c>
      <c r="H8">
        <v>0</v>
      </c>
    </row>
    <row r="9" spans="1:13" x14ac:dyDescent="0.25">
      <c r="A9" t="s">
        <v>0</v>
      </c>
      <c r="B9" t="s">
        <v>12</v>
      </c>
      <c r="C9" t="s">
        <v>34</v>
      </c>
      <c r="D9" t="s">
        <v>14</v>
      </c>
      <c r="E9">
        <v>0</v>
      </c>
      <c r="F9">
        <v>0</v>
      </c>
      <c r="G9">
        <v>0</v>
      </c>
      <c r="H9">
        <v>0</v>
      </c>
    </row>
    <row r="10" spans="1:13" x14ac:dyDescent="0.25">
      <c r="A10" t="s">
        <v>0</v>
      </c>
      <c r="B10" t="s">
        <v>12</v>
      </c>
      <c r="C10" t="s">
        <v>35</v>
      </c>
      <c r="D10" t="s">
        <v>14</v>
      </c>
      <c r="E10">
        <v>0</v>
      </c>
      <c r="F10">
        <v>0</v>
      </c>
      <c r="G10">
        <v>0</v>
      </c>
      <c r="H10">
        <v>0</v>
      </c>
    </row>
    <row r="11" spans="1:13" x14ac:dyDescent="0.25">
      <c r="A11" t="s">
        <v>0</v>
      </c>
      <c r="B11" t="s">
        <v>12</v>
      </c>
      <c r="C11" t="s">
        <v>21</v>
      </c>
      <c r="D11" t="s">
        <v>14</v>
      </c>
      <c r="E11">
        <v>21.87</v>
      </c>
      <c r="F11">
        <v>25</v>
      </c>
      <c r="G11">
        <v>24.6</v>
      </c>
      <c r="H11">
        <v>22.91</v>
      </c>
    </row>
    <row r="12" spans="1:13" x14ac:dyDescent="0.25">
      <c r="A12" t="s">
        <v>0</v>
      </c>
      <c r="B12" t="s">
        <v>12</v>
      </c>
      <c r="C12" t="s">
        <v>22</v>
      </c>
      <c r="D12" t="s">
        <v>14</v>
      </c>
      <c r="E12">
        <v>5.21</v>
      </c>
      <c r="F12">
        <v>19.809999999999999</v>
      </c>
      <c r="G12">
        <v>29.34</v>
      </c>
      <c r="H12">
        <v>42.71</v>
      </c>
    </row>
    <row r="13" spans="1:13" x14ac:dyDescent="0.25">
      <c r="A13" t="s">
        <v>0</v>
      </c>
      <c r="B13" t="s">
        <v>12</v>
      </c>
      <c r="C13" t="s">
        <v>23</v>
      </c>
      <c r="D13" t="s">
        <v>14</v>
      </c>
      <c r="E13">
        <v>9.3699999999999992</v>
      </c>
      <c r="F13">
        <v>16.649999999999999</v>
      </c>
      <c r="G13">
        <v>17.03</v>
      </c>
      <c r="H13">
        <v>18.75</v>
      </c>
    </row>
    <row r="14" spans="1:13" x14ac:dyDescent="0.25">
      <c r="A14" t="s">
        <v>0</v>
      </c>
      <c r="B14" t="s">
        <v>12</v>
      </c>
      <c r="C14" t="s">
        <v>53</v>
      </c>
      <c r="D14" t="s">
        <v>14</v>
      </c>
      <c r="E14">
        <v>1.002</v>
      </c>
      <c r="F14">
        <v>1.002</v>
      </c>
      <c r="G14">
        <v>1.002</v>
      </c>
      <c r="H14">
        <v>1.002</v>
      </c>
    </row>
    <row r="15" spans="1:13" x14ac:dyDescent="0.25">
      <c r="A15" t="s">
        <v>0</v>
      </c>
      <c r="B15" t="s">
        <v>12</v>
      </c>
      <c r="C15" t="s">
        <v>54</v>
      </c>
      <c r="D15" t="s">
        <v>14</v>
      </c>
      <c r="E15">
        <v>1.0609999999999999</v>
      </c>
      <c r="F15">
        <v>1.0609999999999999</v>
      </c>
      <c r="G15">
        <v>1.0609999999999999</v>
      </c>
      <c r="H15">
        <v>1.0609999999999999</v>
      </c>
    </row>
    <row r="16" spans="1:13" x14ac:dyDescent="0.25">
      <c r="A16" t="s">
        <v>9</v>
      </c>
      <c r="B16" t="s">
        <v>12</v>
      </c>
      <c r="C16" t="s">
        <v>16</v>
      </c>
      <c r="D16" t="s">
        <v>14</v>
      </c>
      <c r="E16">
        <v>27.08</v>
      </c>
      <c r="F16">
        <v>6.57</v>
      </c>
      <c r="G16">
        <v>0</v>
      </c>
      <c r="H16">
        <v>0</v>
      </c>
      <c r="J16" s="10"/>
      <c r="K16" s="10"/>
      <c r="L16" s="10"/>
      <c r="M16" s="10"/>
    </row>
    <row r="17" spans="1:13" x14ac:dyDescent="0.25">
      <c r="A17" t="s">
        <v>9</v>
      </c>
      <c r="B17" t="s">
        <v>12</v>
      </c>
      <c r="C17" t="s">
        <v>17</v>
      </c>
      <c r="D17" t="s">
        <v>14</v>
      </c>
      <c r="E17">
        <v>9.69</v>
      </c>
      <c r="F17">
        <v>9.5</v>
      </c>
      <c r="G17">
        <v>5.43</v>
      </c>
      <c r="H17">
        <v>0</v>
      </c>
      <c r="J17" s="10"/>
      <c r="K17" s="10"/>
      <c r="L17" s="10"/>
      <c r="M17" s="10"/>
    </row>
    <row r="18" spans="1:13" x14ac:dyDescent="0.25">
      <c r="A18" t="s">
        <v>9</v>
      </c>
      <c r="B18" t="s">
        <v>12</v>
      </c>
      <c r="C18" t="s">
        <v>18</v>
      </c>
      <c r="D18" t="s">
        <v>14</v>
      </c>
      <c r="E18">
        <v>5.94</v>
      </c>
      <c r="F18">
        <v>5.82</v>
      </c>
      <c r="G18">
        <v>3.33</v>
      </c>
      <c r="H18">
        <v>0</v>
      </c>
      <c r="J18" s="10"/>
      <c r="K18" s="10"/>
      <c r="L18" s="10"/>
      <c r="M18" s="10"/>
    </row>
    <row r="19" spans="1:13" x14ac:dyDescent="0.25">
      <c r="A19" t="s">
        <v>9</v>
      </c>
      <c r="B19" t="s">
        <v>12</v>
      </c>
      <c r="C19" t="s">
        <v>24</v>
      </c>
      <c r="D19" t="s">
        <v>14</v>
      </c>
      <c r="E19">
        <v>5.21</v>
      </c>
      <c r="F19">
        <v>6.57</v>
      </c>
      <c r="G19">
        <v>8.76</v>
      </c>
      <c r="H19">
        <v>12.04</v>
      </c>
      <c r="J19" s="10"/>
      <c r="K19" s="10"/>
      <c r="L19" s="10"/>
      <c r="M19" s="10"/>
    </row>
    <row r="20" spans="1:13" x14ac:dyDescent="0.25">
      <c r="A20" t="s">
        <v>9</v>
      </c>
      <c r="B20" t="s">
        <v>12</v>
      </c>
      <c r="C20" t="s">
        <v>31</v>
      </c>
      <c r="D20" t="s">
        <v>14</v>
      </c>
      <c r="E20">
        <v>0</v>
      </c>
      <c r="F20">
        <v>0</v>
      </c>
      <c r="G20">
        <v>0</v>
      </c>
      <c r="H20">
        <v>0</v>
      </c>
      <c r="J20" s="10"/>
      <c r="K20" s="10"/>
      <c r="L20" s="10"/>
      <c r="M20" s="10"/>
    </row>
    <row r="21" spans="1:13" x14ac:dyDescent="0.25">
      <c r="A21" t="s">
        <v>9</v>
      </c>
      <c r="B21" t="s">
        <v>12</v>
      </c>
      <c r="C21" t="s">
        <v>32</v>
      </c>
      <c r="D21" t="s">
        <v>14</v>
      </c>
      <c r="E21">
        <v>0</v>
      </c>
      <c r="F21">
        <v>0</v>
      </c>
      <c r="G21">
        <v>0</v>
      </c>
      <c r="H21">
        <v>0</v>
      </c>
      <c r="J21" s="10"/>
      <c r="K21" s="10"/>
      <c r="L21" s="10"/>
      <c r="M21" s="10"/>
    </row>
    <row r="22" spans="1:13" x14ac:dyDescent="0.25">
      <c r="A22" t="s">
        <v>9</v>
      </c>
      <c r="B22" t="s">
        <v>12</v>
      </c>
      <c r="C22" t="s">
        <v>33</v>
      </c>
      <c r="D22" t="s">
        <v>14</v>
      </c>
      <c r="E22">
        <v>0</v>
      </c>
      <c r="F22">
        <v>0</v>
      </c>
      <c r="G22">
        <v>0</v>
      </c>
      <c r="H22">
        <v>0</v>
      </c>
      <c r="J22" s="10"/>
      <c r="K22" s="10"/>
      <c r="L22" s="10"/>
      <c r="M22" s="10"/>
    </row>
    <row r="23" spans="1:13" x14ac:dyDescent="0.25">
      <c r="A23" t="s">
        <v>9</v>
      </c>
      <c r="B23" t="s">
        <v>12</v>
      </c>
      <c r="C23" t="s">
        <v>34</v>
      </c>
      <c r="D23" t="s">
        <v>14</v>
      </c>
      <c r="E23">
        <v>0</v>
      </c>
      <c r="F23">
        <v>0</v>
      </c>
      <c r="G23">
        <v>0</v>
      </c>
      <c r="H23">
        <v>0</v>
      </c>
      <c r="J23" s="10"/>
      <c r="K23" s="10"/>
      <c r="L23" s="10"/>
      <c r="M23" s="10"/>
    </row>
    <row r="24" spans="1:13" x14ac:dyDescent="0.25">
      <c r="A24" t="s">
        <v>9</v>
      </c>
      <c r="B24" t="s">
        <v>12</v>
      </c>
      <c r="C24" t="s">
        <v>35</v>
      </c>
      <c r="D24" t="s">
        <v>14</v>
      </c>
      <c r="E24">
        <v>0</v>
      </c>
      <c r="F24">
        <v>0</v>
      </c>
      <c r="G24">
        <v>0</v>
      </c>
      <c r="H24">
        <v>0</v>
      </c>
      <c r="J24" s="10"/>
      <c r="K24" s="10"/>
      <c r="L24" s="10"/>
      <c r="M24" s="10"/>
    </row>
    <row r="25" spans="1:13" x14ac:dyDescent="0.25">
      <c r="A25" t="s">
        <v>9</v>
      </c>
      <c r="B25" t="s">
        <v>12</v>
      </c>
      <c r="C25" t="s">
        <v>21</v>
      </c>
      <c r="D25" t="s">
        <v>14</v>
      </c>
      <c r="E25">
        <v>21.87</v>
      </c>
      <c r="F25">
        <v>22.99</v>
      </c>
      <c r="G25">
        <v>25.18</v>
      </c>
      <c r="H25">
        <v>30.66</v>
      </c>
      <c r="J25" s="10"/>
      <c r="K25" s="10"/>
      <c r="L25" s="10"/>
      <c r="M25" s="10"/>
    </row>
    <row r="26" spans="1:13" x14ac:dyDescent="0.25">
      <c r="A26" t="s">
        <v>9</v>
      </c>
      <c r="B26" t="s">
        <v>12</v>
      </c>
      <c r="C26" t="s">
        <v>22</v>
      </c>
      <c r="D26" t="s">
        <v>14</v>
      </c>
      <c r="E26">
        <v>5.21</v>
      </c>
      <c r="F26">
        <v>21.9</v>
      </c>
      <c r="G26">
        <v>41.61</v>
      </c>
      <c r="H26">
        <v>49.27</v>
      </c>
      <c r="J26" s="10"/>
      <c r="K26" s="10"/>
      <c r="L26" s="10"/>
      <c r="M26" s="10"/>
    </row>
    <row r="27" spans="1:13" x14ac:dyDescent="0.25">
      <c r="A27" t="s">
        <v>9</v>
      </c>
      <c r="B27" t="s">
        <v>12</v>
      </c>
      <c r="C27" t="s">
        <v>23</v>
      </c>
      <c r="D27" t="s">
        <v>14</v>
      </c>
      <c r="E27">
        <v>9.3699999999999992</v>
      </c>
      <c r="F27">
        <v>26.28</v>
      </c>
      <c r="G27">
        <v>33.94</v>
      </c>
      <c r="H27">
        <v>40.51</v>
      </c>
      <c r="J27" s="10"/>
      <c r="K27" s="10"/>
      <c r="L27" s="10"/>
      <c r="M27" s="10"/>
    </row>
    <row r="28" spans="1:13" x14ac:dyDescent="0.25">
      <c r="A28" t="s">
        <v>9</v>
      </c>
      <c r="B28" t="s">
        <v>12</v>
      </c>
      <c r="C28" t="s">
        <v>53</v>
      </c>
      <c r="D28" t="s">
        <v>14</v>
      </c>
      <c r="E28">
        <v>1.002</v>
      </c>
      <c r="F28">
        <v>1.002</v>
      </c>
      <c r="G28">
        <v>1.002</v>
      </c>
      <c r="H28">
        <v>1.002</v>
      </c>
      <c r="J28" s="10"/>
    </row>
    <row r="29" spans="1:13" x14ac:dyDescent="0.25">
      <c r="A29" t="s">
        <v>9</v>
      </c>
      <c r="B29" t="s">
        <v>12</v>
      </c>
      <c r="C29" t="s">
        <v>54</v>
      </c>
      <c r="D29" t="s">
        <v>14</v>
      </c>
      <c r="E29">
        <v>1.0609999999999999</v>
      </c>
      <c r="F29">
        <v>1.0609999999999999</v>
      </c>
      <c r="G29">
        <v>1.0609999999999999</v>
      </c>
      <c r="H29">
        <v>1.0609999999999999</v>
      </c>
    </row>
    <row r="30" spans="1:13" x14ac:dyDescent="0.25">
      <c r="A30" t="s">
        <v>0</v>
      </c>
      <c r="B30" t="s">
        <v>28</v>
      </c>
      <c r="C30" t="s">
        <v>16</v>
      </c>
      <c r="D30" t="s">
        <v>14</v>
      </c>
      <c r="E30">
        <v>6.7</v>
      </c>
      <c r="F30">
        <v>10</v>
      </c>
      <c r="G30">
        <v>0</v>
      </c>
      <c r="H30">
        <v>0</v>
      </c>
    </row>
    <row r="31" spans="1:13" x14ac:dyDescent="0.25">
      <c r="A31" t="s">
        <v>0</v>
      </c>
      <c r="B31" t="s">
        <v>28</v>
      </c>
      <c r="C31" t="s">
        <v>17</v>
      </c>
      <c r="D31" t="s">
        <v>14</v>
      </c>
      <c r="E31">
        <v>65.8</v>
      </c>
      <c r="F31">
        <v>57.9</v>
      </c>
      <c r="G31">
        <v>57.9</v>
      </c>
      <c r="H31">
        <v>48.7</v>
      </c>
    </row>
    <row r="32" spans="1:13" x14ac:dyDescent="0.25">
      <c r="A32" t="s">
        <v>0</v>
      </c>
      <c r="B32" t="s">
        <v>28</v>
      </c>
      <c r="C32" t="s">
        <v>18</v>
      </c>
      <c r="D32" t="s">
        <v>14</v>
      </c>
      <c r="E32">
        <v>17.5</v>
      </c>
      <c r="F32">
        <v>15.4</v>
      </c>
      <c r="G32">
        <v>15.4</v>
      </c>
      <c r="H32">
        <v>13</v>
      </c>
    </row>
    <row r="33" spans="1:8" x14ac:dyDescent="0.25">
      <c r="A33" t="s">
        <v>0</v>
      </c>
      <c r="B33" t="s">
        <v>28</v>
      </c>
      <c r="C33" t="s">
        <v>24</v>
      </c>
      <c r="D33" t="s">
        <v>14</v>
      </c>
      <c r="E33">
        <v>0</v>
      </c>
      <c r="F33">
        <v>0</v>
      </c>
      <c r="G33">
        <v>10</v>
      </c>
      <c r="H33">
        <v>6.7</v>
      </c>
    </row>
    <row r="34" spans="1:8" x14ac:dyDescent="0.25">
      <c r="A34" t="s">
        <v>0</v>
      </c>
      <c r="B34" t="s">
        <v>28</v>
      </c>
      <c r="C34" t="s">
        <v>31</v>
      </c>
      <c r="D34" t="s">
        <v>14</v>
      </c>
      <c r="E34">
        <v>13.3</v>
      </c>
      <c r="F34">
        <v>10</v>
      </c>
      <c r="G34">
        <v>13.3</v>
      </c>
      <c r="H34">
        <v>26.7</v>
      </c>
    </row>
    <row r="35" spans="1:8" x14ac:dyDescent="0.25">
      <c r="A35" t="s">
        <v>0</v>
      </c>
      <c r="B35" t="s">
        <v>28</v>
      </c>
      <c r="C35" t="s">
        <v>32</v>
      </c>
      <c r="D35" t="s">
        <v>14</v>
      </c>
      <c r="E35">
        <v>0.6</v>
      </c>
      <c r="F35">
        <v>0.8</v>
      </c>
      <c r="G35">
        <v>0.9</v>
      </c>
      <c r="H35">
        <v>1</v>
      </c>
    </row>
    <row r="36" spans="1:8" x14ac:dyDescent="0.25">
      <c r="A36" t="s">
        <v>0</v>
      </c>
      <c r="B36" t="s">
        <v>28</v>
      </c>
      <c r="C36" t="s">
        <v>33</v>
      </c>
      <c r="D36" t="s">
        <v>14</v>
      </c>
      <c r="E36">
        <v>7.1</v>
      </c>
      <c r="F36">
        <v>10</v>
      </c>
      <c r="G36">
        <v>11.2</v>
      </c>
      <c r="H36">
        <v>12.5</v>
      </c>
    </row>
    <row r="37" spans="1:8" x14ac:dyDescent="0.25">
      <c r="A37" t="s">
        <v>0</v>
      </c>
      <c r="B37" t="s">
        <v>28</v>
      </c>
      <c r="C37" t="s">
        <v>34</v>
      </c>
      <c r="D37" t="s">
        <v>14</v>
      </c>
      <c r="E37">
        <v>6.8</v>
      </c>
      <c r="F37">
        <v>9.6</v>
      </c>
      <c r="G37">
        <v>10.8</v>
      </c>
      <c r="H37">
        <v>12</v>
      </c>
    </row>
    <row r="38" spans="1:8" x14ac:dyDescent="0.25">
      <c r="A38" t="s">
        <v>0</v>
      </c>
      <c r="B38" t="s">
        <v>28</v>
      </c>
      <c r="C38" t="s">
        <v>35</v>
      </c>
      <c r="D38" t="s">
        <v>14</v>
      </c>
      <c r="E38">
        <v>12.7</v>
      </c>
      <c r="F38">
        <v>18</v>
      </c>
      <c r="G38">
        <v>20.2</v>
      </c>
      <c r="H38">
        <v>22.5</v>
      </c>
    </row>
    <row r="39" spans="1:8" x14ac:dyDescent="0.25">
      <c r="A39" t="s">
        <v>0</v>
      </c>
      <c r="B39" t="s">
        <v>28</v>
      </c>
      <c r="C39" t="s">
        <v>21</v>
      </c>
      <c r="D39" t="s">
        <v>14</v>
      </c>
      <c r="E39">
        <v>0.6</v>
      </c>
      <c r="F39">
        <v>0.8</v>
      </c>
      <c r="G39">
        <v>0.9</v>
      </c>
      <c r="H39">
        <v>1</v>
      </c>
    </row>
    <row r="40" spans="1:8" x14ac:dyDescent="0.25">
      <c r="A40" t="s">
        <v>0</v>
      </c>
      <c r="B40" t="s">
        <v>28</v>
      </c>
      <c r="C40" t="s">
        <v>22</v>
      </c>
      <c r="D40" t="s">
        <v>14</v>
      </c>
      <c r="E40">
        <v>12.2</v>
      </c>
      <c r="F40">
        <v>20.8</v>
      </c>
      <c r="G40">
        <v>24.2</v>
      </c>
      <c r="H40">
        <v>29.3</v>
      </c>
    </row>
    <row r="41" spans="1:8" x14ac:dyDescent="0.25">
      <c r="A41" t="s">
        <v>0</v>
      </c>
      <c r="B41" t="s">
        <v>28</v>
      </c>
      <c r="C41" t="s">
        <v>23</v>
      </c>
      <c r="D41" t="s">
        <v>14</v>
      </c>
      <c r="E41">
        <v>0</v>
      </c>
      <c r="F41">
        <v>0</v>
      </c>
      <c r="G41">
        <v>10</v>
      </c>
      <c r="H41">
        <v>18.3</v>
      </c>
    </row>
    <row r="42" spans="1:8" x14ac:dyDescent="0.25">
      <c r="A42" t="s">
        <v>0</v>
      </c>
      <c r="B42" t="s">
        <v>28</v>
      </c>
      <c r="C42" t="s">
        <v>53</v>
      </c>
      <c r="D42" t="s">
        <v>14</v>
      </c>
      <c r="E42">
        <v>1.008</v>
      </c>
      <c r="F42">
        <v>1.008</v>
      </c>
      <c r="G42">
        <v>1.008</v>
      </c>
      <c r="H42">
        <v>1.008</v>
      </c>
    </row>
    <row r="43" spans="1:8" x14ac:dyDescent="0.25">
      <c r="A43" t="s">
        <v>0</v>
      </c>
      <c r="B43" t="s">
        <v>28</v>
      </c>
      <c r="C43" t="s">
        <v>54</v>
      </c>
      <c r="D43" t="s">
        <v>14</v>
      </c>
      <c r="E43">
        <v>1.0609999999999999</v>
      </c>
      <c r="F43">
        <v>1.0609999999999999</v>
      </c>
      <c r="G43">
        <v>1.0609999999999999</v>
      </c>
      <c r="H43">
        <v>1.0609999999999999</v>
      </c>
    </row>
    <row r="44" spans="1:8" x14ac:dyDescent="0.25">
      <c r="A44" t="s">
        <v>9</v>
      </c>
      <c r="B44" t="s">
        <v>28</v>
      </c>
      <c r="C44" t="s">
        <v>16</v>
      </c>
      <c r="D44" t="s">
        <v>14</v>
      </c>
      <c r="E44">
        <v>6.7</v>
      </c>
      <c r="F44">
        <v>11.3</v>
      </c>
      <c r="G44">
        <v>0</v>
      </c>
      <c r="H44">
        <v>0</v>
      </c>
    </row>
    <row r="45" spans="1:8" x14ac:dyDescent="0.25">
      <c r="A45" t="s">
        <v>9</v>
      </c>
      <c r="B45" t="s">
        <v>28</v>
      </c>
      <c r="C45" t="s">
        <v>17</v>
      </c>
      <c r="D45" t="s">
        <v>14</v>
      </c>
      <c r="E45">
        <v>65.8</v>
      </c>
      <c r="F45">
        <v>58.6</v>
      </c>
      <c r="G45">
        <v>61.2</v>
      </c>
      <c r="H45">
        <v>54.8</v>
      </c>
    </row>
    <row r="46" spans="1:8" x14ac:dyDescent="0.25">
      <c r="A46" t="s">
        <v>9</v>
      </c>
      <c r="B46" t="s">
        <v>28</v>
      </c>
      <c r="C46" t="s">
        <v>18</v>
      </c>
      <c r="D46" t="s">
        <v>14</v>
      </c>
      <c r="E46">
        <v>17.5</v>
      </c>
      <c r="F46">
        <v>15.6</v>
      </c>
      <c r="G46">
        <v>16.3</v>
      </c>
      <c r="H46">
        <v>14.6</v>
      </c>
    </row>
    <row r="47" spans="1:8" x14ac:dyDescent="0.25">
      <c r="A47" t="s">
        <v>9</v>
      </c>
      <c r="B47" t="s">
        <v>28</v>
      </c>
      <c r="C47" t="s">
        <v>24</v>
      </c>
      <c r="D47" t="s">
        <v>14</v>
      </c>
      <c r="E47">
        <v>0</v>
      </c>
      <c r="F47">
        <v>0</v>
      </c>
      <c r="G47">
        <v>6.5</v>
      </c>
      <c r="H47">
        <v>8.1</v>
      </c>
    </row>
    <row r="48" spans="1:8" x14ac:dyDescent="0.25">
      <c r="A48" t="s">
        <v>9</v>
      </c>
      <c r="B48" t="s">
        <v>28</v>
      </c>
      <c r="C48" t="s">
        <v>31</v>
      </c>
      <c r="D48" t="s">
        <v>14</v>
      </c>
      <c r="E48">
        <v>13.3</v>
      </c>
      <c r="F48">
        <v>12.9</v>
      </c>
      <c r="G48">
        <v>14.5</v>
      </c>
      <c r="H48">
        <v>27.4</v>
      </c>
    </row>
    <row r="49" spans="1:8" x14ac:dyDescent="0.25">
      <c r="A49" t="s">
        <v>9</v>
      </c>
      <c r="B49" t="s">
        <v>28</v>
      </c>
      <c r="C49" t="s">
        <v>32</v>
      </c>
      <c r="D49" t="s">
        <v>14</v>
      </c>
      <c r="E49">
        <v>0.6</v>
      </c>
      <c r="F49">
        <v>0.7</v>
      </c>
      <c r="G49">
        <v>0.9</v>
      </c>
      <c r="H49">
        <v>1</v>
      </c>
    </row>
    <row r="50" spans="1:8" x14ac:dyDescent="0.25">
      <c r="A50" t="s">
        <v>9</v>
      </c>
      <c r="B50" t="s">
        <v>28</v>
      </c>
      <c r="C50" t="s">
        <v>33</v>
      </c>
      <c r="D50" t="s">
        <v>14</v>
      </c>
      <c r="E50">
        <v>7.1</v>
      </c>
      <c r="F50">
        <v>9.3000000000000007</v>
      </c>
      <c r="G50">
        <v>10.9</v>
      </c>
      <c r="H50">
        <v>12.9</v>
      </c>
    </row>
    <row r="51" spans="1:8" x14ac:dyDescent="0.25">
      <c r="A51" t="s">
        <v>9</v>
      </c>
      <c r="B51" t="s">
        <v>28</v>
      </c>
      <c r="C51" t="s">
        <v>34</v>
      </c>
      <c r="D51" t="s">
        <v>14</v>
      </c>
      <c r="E51">
        <v>6.8</v>
      </c>
      <c r="F51">
        <v>8.9</v>
      </c>
      <c r="G51">
        <v>10.5</v>
      </c>
      <c r="H51">
        <v>12.4</v>
      </c>
    </row>
    <row r="52" spans="1:8" x14ac:dyDescent="0.25">
      <c r="A52" t="s">
        <v>9</v>
      </c>
      <c r="B52" t="s">
        <v>28</v>
      </c>
      <c r="C52" t="s">
        <v>35</v>
      </c>
      <c r="D52" t="s">
        <v>14</v>
      </c>
      <c r="E52">
        <v>12.7</v>
      </c>
      <c r="F52">
        <v>16.7</v>
      </c>
      <c r="G52">
        <v>19.600000000000001</v>
      </c>
      <c r="H52">
        <v>23.2</v>
      </c>
    </row>
    <row r="53" spans="1:8" x14ac:dyDescent="0.25">
      <c r="A53" t="s">
        <v>9</v>
      </c>
      <c r="B53" t="s">
        <v>28</v>
      </c>
      <c r="C53" t="s">
        <v>21</v>
      </c>
      <c r="D53" t="s">
        <v>14</v>
      </c>
      <c r="E53">
        <v>0.6</v>
      </c>
      <c r="F53">
        <v>0.7</v>
      </c>
      <c r="G53">
        <v>0.9</v>
      </c>
      <c r="H53">
        <v>1</v>
      </c>
    </row>
    <row r="54" spans="1:8" x14ac:dyDescent="0.25">
      <c r="A54" t="s">
        <v>9</v>
      </c>
      <c r="B54" t="s">
        <v>28</v>
      </c>
      <c r="C54" t="s">
        <v>22</v>
      </c>
      <c r="D54" t="s">
        <v>14</v>
      </c>
      <c r="E54">
        <v>12.2</v>
      </c>
      <c r="F54">
        <v>18.5</v>
      </c>
      <c r="G54">
        <v>28.3</v>
      </c>
      <c r="H54">
        <v>36.5</v>
      </c>
    </row>
    <row r="55" spans="1:8" x14ac:dyDescent="0.25">
      <c r="A55" t="s">
        <v>9</v>
      </c>
      <c r="B55" t="s">
        <v>28</v>
      </c>
      <c r="C55" t="s">
        <v>23</v>
      </c>
      <c r="D55" t="s">
        <v>14</v>
      </c>
      <c r="E55">
        <v>0</v>
      </c>
      <c r="F55">
        <v>6.5</v>
      </c>
      <c r="G55">
        <v>11.3</v>
      </c>
      <c r="H55">
        <v>25.8</v>
      </c>
    </row>
    <row r="56" spans="1:8" x14ac:dyDescent="0.25">
      <c r="A56" t="s">
        <v>9</v>
      </c>
      <c r="B56" t="s">
        <v>28</v>
      </c>
      <c r="C56" t="s">
        <v>53</v>
      </c>
      <c r="D56" t="s">
        <v>14</v>
      </c>
      <c r="E56">
        <v>1.008</v>
      </c>
      <c r="F56">
        <v>1.008</v>
      </c>
      <c r="G56">
        <v>1.008</v>
      </c>
      <c r="H56">
        <v>1.008</v>
      </c>
    </row>
    <row r="57" spans="1:8" x14ac:dyDescent="0.25">
      <c r="A57" t="s">
        <v>9</v>
      </c>
      <c r="B57" t="s">
        <v>28</v>
      </c>
      <c r="C57" t="s">
        <v>54</v>
      </c>
      <c r="D57" t="s">
        <v>14</v>
      </c>
      <c r="E57">
        <v>1.0609999999999999</v>
      </c>
      <c r="F57">
        <v>1.0609999999999999</v>
      </c>
      <c r="G57">
        <v>1.0609999999999999</v>
      </c>
      <c r="H57">
        <v>1.0609999999999999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Chile</vt:lpstr>
      <vt:lpstr>Argentina</vt:lpstr>
      <vt:lpstr>scenario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Istrate, I.R. (Robert)</dc:creator>
  <cp:lastModifiedBy>Istrate, I.R. (Robert)</cp:lastModifiedBy>
  <dcterms:created xsi:type="dcterms:W3CDTF">2015-06-05T18:19:34Z</dcterms:created>
  <dcterms:modified xsi:type="dcterms:W3CDTF">2025-01-27T13:31:34Z</dcterms:modified>
</cp:coreProperties>
</file>