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424226736718/WOPIServiceId_TP_BOX_2/WOPIUserId_27934424612/"/>
    </mc:Choice>
  </mc:AlternateContent>
  <xr:revisionPtr revIDLastSave="269" documentId="8_{F9D9D0A9-6825-9940-AB67-577EB1F29916}" xr6:coauthVersionLast="47" xr6:coauthVersionMax="47" xr10:uidLastSave="{55F1E82C-F96D-A14A-8E95-31659ECD8862}"/>
  <bookViews>
    <workbookView xWindow="1860" yWindow="3300" windowWidth="35920" windowHeight="16600" activeTab="5" xr2:uid="{71977BF9-6B00-484A-916D-DDEC467E5E29}"/>
  </bookViews>
  <sheets>
    <sheet name="rebal" sheetId="3" r:id="rId1"/>
    <sheet name="AA" sheetId="4" r:id="rId2"/>
    <sheet name="AB" sheetId="5" r:id="rId3"/>
    <sheet name="Age Groups" sheetId="6" state="hidden" r:id="rId4"/>
    <sheet name="Devices" sheetId="7" state="hidden" r:id="rId5"/>
    <sheet name="StatSig" sheetId="1" r:id="rId6"/>
    <sheet name="StatSig_aa" sheetId="8" r:id="rId7"/>
    <sheet name="ref_statSig" sheetId="2" r:id="rId8"/>
  </sheets>
  <calcPr calcId="191028"/>
  <pivotCaches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G6" i="1"/>
  <c r="H20" i="5"/>
  <c r="D29" i="5" l="1"/>
  <c r="G28" i="2"/>
  <c r="D20" i="4"/>
  <c r="E24" i="5"/>
  <c r="D24" i="5"/>
  <c r="F41" i="5"/>
  <c r="E42" i="5"/>
  <c r="F42" i="5" s="1"/>
  <c r="E41" i="5"/>
  <c r="E61" i="5"/>
  <c r="E62" i="5"/>
  <c r="D62" i="5"/>
  <c r="D61" i="5"/>
  <c r="E60" i="5"/>
  <c r="D60" i="5"/>
  <c r="E59" i="5"/>
  <c r="D59" i="5"/>
  <c r="E58" i="5"/>
  <c r="D58" i="5"/>
  <c r="E57" i="5"/>
  <c r="D57" i="5"/>
  <c r="E55" i="5"/>
  <c r="D55" i="5"/>
  <c r="E51" i="5"/>
  <c r="E54" i="5"/>
  <c r="D54" i="5"/>
  <c r="E53" i="5"/>
  <c r="D53" i="5"/>
  <c r="E52" i="5"/>
  <c r="D52" i="5"/>
  <c r="D51" i="5"/>
  <c r="E50" i="5"/>
  <c r="D50" i="5"/>
  <c r="E49" i="5"/>
  <c r="D49" i="5"/>
  <c r="E47" i="5"/>
  <c r="E46" i="5"/>
  <c r="E45" i="5"/>
  <c r="D47" i="5"/>
  <c r="D46" i="5"/>
  <c r="D45" i="5"/>
  <c r="E44" i="5"/>
  <c r="D44" i="5"/>
  <c r="E38" i="5"/>
  <c r="D38" i="5"/>
  <c r="E36" i="5"/>
  <c r="E35" i="5"/>
  <c r="D36" i="5"/>
  <c r="D35" i="5"/>
  <c r="E34" i="5"/>
  <c r="D34" i="5"/>
  <c r="E33" i="5"/>
  <c r="D33" i="5"/>
  <c r="E32" i="5"/>
  <c r="D32" i="5"/>
  <c r="E31" i="5"/>
  <c r="D31" i="5"/>
  <c r="D42" i="5"/>
  <c r="D41" i="5"/>
  <c r="H5" i="3"/>
  <c r="M5" i="3" s="1"/>
  <c r="I11" i="3"/>
  <c r="M18" i="3" s="1"/>
  <c r="I10" i="3"/>
  <c r="M17" i="3" s="1"/>
  <c r="I9" i="3"/>
  <c r="M16" i="3" s="1"/>
  <c r="I8" i="3"/>
  <c r="M15" i="3" s="1"/>
  <c r="I7" i="3"/>
  <c r="M14" i="3" s="1"/>
  <c r="I6" i="3"/>
  <c r="M13" i="3" s="1"/>
  <c r="I5" i="3"/>
  <c r="M12" i="3" s="1"/>
  <c r="H11" i="3"/>
  <c r="M11" i="3" s="1"/>
  <c r="H10" i="3"/>
  <c r="M10" i="3" s="1"/>
  <c r="H9" i="3"/>
  <c r="M9" i="3" s="1"/>
  <c r="H8" i="3"/>
  <c r="M8" i="3" s="1"/>
  <c r="H7" i="3"/>
  <c r="M7" i="3" s="1"/>
  <c r="H6" i="3"/>
  <c r="M6" i="3" s="1"/>
  <c r="P104" i="2"/>
  <c r="P105" i="2" s="1"/>
  <c r="P91" i="2"/>
  <c r="G75" i="2"/>
  <c r="G73" i="2"/>
  <c r="P75" i="2"/>
  <c r="P74" i="2"/>
  <c r="P73" i="2"/>
  <c r="G77" i="2"/>
  <c r="G72" i="2"/>
  <c r="F24" i="5" l="1"/>
  <c r="G37" i="2"/>
  <c r="G36" i="2"/>
  <c r="G35" i="2"/>
  <c r="G34" i="2" l="1"/>
  <c r="G33" i="2" l="1"/>
  <c r="O13" i="8" l="1"/>
  <c r="O11" i="8"/>
  <c r="O7" i="8"/>
  <c r="O5" i="8"/>
  <c r="G15" i="8"/>
  <c r="G13" i="8"/>
  <c r="G11" i="8"/>
  <c r="G9" i="8"/>
  <c r="G7" i="8"/>
  <c r="G5" i="8"/>
  <c r="O17" i="1"/>
  <c r="O15" i="1"/>
  <c r="O11" i="1"/>
  <c r="O9" i="1"/>
  <c r="G19" i="1"/>
  <c r="G17" i="1"/>
  <c r="G15" i="1"/>
  <c r="G13" i="1"/>
  <c r="G11" i="1"/>
  <c r="G9" i="1"/>
  <c r="F62" i="5"/>
  <c r="F55" i="5"/>
  <c r="F52" i="5"/>
  <c r="F45" i="5"/>
  <c r="E29" i="5"/>
  <c r="E28" i="5"/>
  <c r="D28" i="5"/>
  <c r="E27" i="5"/>
  <c r="D27" i="5"/>
  <c r="E26" i="5"/>
  <c r="D26" i="5"/>
  <c r="E22" i="5"/>
  <c r="D22" i="5"/>
  <c r="E21" i="5"/>
  <c r="D21" i="5"/>
  <c r="E18" i="5"/>
  <c r="D18" i="5"/>
  <c r="C10" i="5"/>
  <c r="C9" i="5"/>
  <c r="E27" i="4"/>
  <c r="D27" i="4"/>
  <c r="F27" i="4" s="1"/>
  <c r="E26" i="4"/>
  <c r="D26" i="4"/>
  <c r="F26" i="4" s="1"/>
  <c r="E25" i="4"/>
  <c r="D25" i="4"/>
  <c r="E24" i="4"/>
  <c r="E22" i="4"/>
  <c r="D22" i="4"/>
  <c r="E21" i="4"/>
  <c r="D21" i="4"/>
  <c r="E18" i="4"/>
  <c r="D18" i="4"/>
  <c r="B16" i="4"/>
  <c r="C10" i="4"/>
  <c r="C9" i="4" s="1"/>
  <c r="G11" i="3"/>
  <c r="G10" i="3"/>
  <c r="G9" i="3"/>
  <c r="G8" i="3"/>
  <c r="G7" i="3"/>
  <c r="G6" i="3"/>
  <c r="G5" i="3"/>
  <c r="G28" i="1" l="1"/>
  <c r="O13" i="1"/>
  <c r="O26" i="1"/>
  <c r="F32" i="5"/>
  <c r="F53" i="5"/>
  <c r="O22" i="8"/>
  <c r="O9" i="8"/>
  <c r="G24" i="8"/>
  <c r="G23" i="8"/>
  <c r="O21" i="8"/>
  <c r="F26" i="5"/>
  <c r="F57" i="5"/>
  <c r="F29" i="5"/>
  <c r="F49" i="5"/>
  <c r="F38" i="5"/>
  <c r="F50" i="5"/>
  <c r="E39" i="5"/>
  <c r="F46" i="5"/>
  <c r="F60" i="5"/>
  <c r="K17" i="5"/>
  <c r="F54" i="5"/>
  <c r="F61" i="5"/>
  <c r="F22" i="5"/>
  <c r="F33" i="5"/>
  <c r="F44" i="5"/>
  <c r="F58" i="5"/>
  <c r="F27" i="5"/>
  <c r="F24" i="4"/>
  <c r="F47" i="5"/>
  <c r="F51" i="5"/>
  <c r="F35" i="5"/>
  <c r="F28" i="5"/>
  <c r="F59" i="5"/>
  <c r="E20" i="5"/>
  <c r="F36" i="5"/>
  <c r="F25" i="4"/>
  <c r="F21" i="4"/>
  <c r="F22" i="4"/>
  <c r="F21" i="5"/>
  <c r="E20" i="4"/>
  <c r="O23" i="8" l="1"/>
  <c r="O17" i="8" s="1"/>
  <c r="G25" i="8"/>
  <c r="G19" i="8" s="1"/>
  <c r="O18" i="8" l="1"/>
  <c r="G21" i="4"/>
  <c r="G20" i="8"/>
  <c r="G22" i="4"/>
  <c r="F20" i="4" l="1"/>
  <c r="G106" i="2"/>
  <c r="G107" i="2" s="1"/>
  <c r="G105" i="2"/>
  <c r="G76" i="2"/>
  <c r="G58" i="2"/>
  <c r="G52" i="2"/>
  <c r="G30" i="2"/>
  <c r="G29" i="2"/>
  <c r="G13" i="2"/>
  <c r="P103" i="2"/>
  <c r="P78" i="2"/>
  <c r="P77" i="2"/>
  <c r="P71" i="2"/>
  <c r="P72" i="2" s="1"/>
  <c r="P56" i="2"/>
  <c r="P52" i="2"/>
  <c r="P37" i="2"/>
  <c r="P36" i="2"/>
  <c r="P35" i="2"/>
  <c r="P32" i="2"/>
  <c r="P39" i="2" s="1"/>
  <c r="P31" i="2"/>
  <c r="P13" i="2"/>
  <c r="G74" i="2" l="1"/>
  <c r="P76" i="2"/>
  <c r="P67" i="2" s="1"/>
  <c r="P33" i="2"/>
  <c r="P34" i="2" s="1"/>
  <c r="P38" i="2" s="1"/>
  <c r="P26" i="2" s="1"/>
  <c r="P27" i="2" s="1"/>
  <c r="P28" i="2" s="1"/>
  <c r="G108" i="2"/>
  <c r="G101" i="2" s="1"/>
  <c r="G102" i="2" s="1"/>
  <c r="P99" i="2"/>
  <c r="P100" i="2" s="1"/>
  <c r="G27" i="1"/>
  <c r="O25" i="1"/>
  <c r="O27" i="1" s="1"/>
  <c r="O21" i="1" s="1"/>
  <c r="O22" i="1" l="1"/>
  <c r="G21" i="5"/>
  <c r="G30" i="1"/>
  <c r="E50" i="1" s="1"/>
  <c r="E51" i="1" s="1"/>
  <c r="G69" i="2"/>
  <c r="G24" i="1" l="1"/>
  <c r="G23" i="1" s="1"/>
  <c r="G22" i="5" l="1"/>
  <c r="D20" i="5"/>
  <c r="F20" i="5" s="1"/>
  <c r="D39" i="5"/>
  <c r="K20" i="5" l="1"/>
  <c r="K16" i="5"/>
  <c r="K19" i="5" s="1"/>
  <c r="F39" i="5"/>
  <c r="K2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J Kosowski</author>
  </authors>
  <commentList>
    <comment ref="A25" authorId="0" shapeId="0" xr:uid="{EDC19E22-B5B4-451D-AF0C-3D967EC1CEB2}">
      <text>
        <r>
          <rPr>
            <b/>
            <sz val="9"/>
            <color indexed="81"/>
            <rFont val="Tahoma"/>
            <family val="2"/>
          </rPr>
          <t>When required, expand grouping to display first usage KPI</t>
        </r>
      </text>
    </comment>
  </commentList>
</comments>
</file>

<file path=xl/sharedStrings.xml><?xml version="1.0" encoding="utf-8"?>
<sst xmlns="http://schemas.openxmlformats.org/spreadsheetml/2006/main" count="835" uniqueCount="308">
  <si>
    <t>Refresh-&gt;</t>
  </si>
  <si>
    <t>Column Labels</t>
  </si>
  <si>
    <t>Sum of TOTAL_MEMBERS</t>
  </si>
  <si>
    <t>Sum of TOTAL_MEMBERS2</t>
  </si>
  <si>
    <t>Row Labels</t>
  </si>
  <si>
    <t>control</t>
  </si>
  <si>
    <t>test</t>
  </si>
  <si>
    <t>diff (test - control)</t>
  </si>
  <si>
    <t>keep control</t>
  </si>
  <si>
    <t>keep test</t>
  </si>
  <si>
    <t>000-050</t>
  </si>
  <si>
    <t>050-100</t>
  </si>
  <si>
    <t>100-200</t>
  </si>
  <si>
    <t>200-500</t>
  </si>
  <si>
    <t>500-1000</t>
  </si>
  <si>
    <t>1000+</t>
  </si>
  <si>
    <t>non-buyer</t>
  </si>
  <si>
    <t>Grand Total</t>
  </si>
  <si>
    <t>test_control</t>
  </si>
  <si>
    <t>demand_per_buyer_bucket</t>
  </si>
  <si>
    <t>total_members</t>
  </si>
  <si>
    <t>buying_members</t>
  </si>
  <si>
    <t>conversion_rate</t>
  </si>
  <si>
    <t>avg_demand</t>
  </si>
  <si>
    <t>std_demand</t>
  </si>
  <si>
    <t>AOV</t>
  </si>
  <si>
    <t>AUR</t>
  </si>
  <si>
    <t>UPT</t>
  </si>
  <si>
    <t>Paste Here -&gt;</t>
  </si>
  <si>
    <t>NATEST #XX - Title</t>
  </si>
  <si>
    <t xml:space="preserve">Hypothesis: </t>
  </si>
  <si>
    <t>lorem ipsum</t>
  </si>
  <si>
    <t>Test parameters:</t>
  </si>
  <si>
    <t>Test/control</t>
  </si>
  <si>
    <t>Test (50%)
Holdout (50%)</t>
  </si>
  <si>
    <t>Test launch time</t>
  </si>
  <si>
    <t>Measurement start date</t>
  </si>
  <si>
    <t>Measurement end date</t>
  </si>
  <si>
    <t>Measure time windows (days)</t>
  </si>
  <si>
    <t>report date</t>
  </si>
  <si>
    <t>Test vs Control</t>
  </si>
  <si>
    <t>&lt;- significance threshold</t>
  </si>
  <si>
    <t>Test</t>
  </si>
  <si>
    <t>Control</t>
  </si>
  <si>
    <t>%uplift</t>
  </si>
  <si>
    <t>Significance</t>
  </si>
  <si>
    <t>Audience</t>
  </si>
  <si>
    <t>all</t>
  </si>
  <si>
    <t>Size: # members</t>
  </si>
  <si>
    <t>Primary KPIs - revenue</t>
  </si>
  <si>
    <t>Goal: Demand per push sent</t>
  </si>
  <si>
    <r>
      <t xml:space="preserve">Conversion rate </t>
    </r>
    <r>
      <rPr>
        <sz val="11"/>
        <color theme="1"/>
        <rFont val="Calibri"/>
        <family val="2"/>
        <scheme val="minor"/>
      </rPr>
      <t>(buyers/email receivers)</t>
    </r>
  </si>
  <si>
    <t>Demand per buyer</t>
  </si>
  <si>
    <t>Secondary KPIs - order deep dive</t>
  </si>
  <si>
    <t># transactions</t>
  </si>
  <si>
    <t>[field name reference]</t>
  </si>
  <si>
    <t>Campaign</t>
  </si>
  <si>
    <t>Trigger</t>
  </si>
  <si>
    <t>Summary</t>
  </si>
  <si>
    <t>Demand lift per email sent</t>
  </si>
  <si>
    <t>Eligible audience size</t>
  </si>
  <si>
    <t>Annual email sent frequency</t>
  </si>
  <si>
    <t>Annual revenue lift</t>
  </si>
  <si>
    <t>Margin rate</t>
  </si>
  <si>
    <t>Annual margin lift</t>
  </si>
  <si>
    <t># transactions per buyer</t>
  </si>
  <si>
    <t>Secondary KPIs - Repeat buyers</t>
  </si>
  <si>
    <t>Members with 1 previous order</t>
  </si>
  <si>
    <r>
      <t xml:space="preserve">Conversion rate </t>
    </r>
    <r>
      <rPr>
        <sz val="11"/>
        <color theme="1"/>
        <rFont val="Calibri"/>
        <family val="2"/>
        <scheme val="minor"/>
      </rPr>
      <t>(1x buyers/email receivers)</t>
    </r>
  </si>
  <si>
    <r>
      <t xml:space="preserve">Demand per Buyer </t>
    </r>
    <r>
      <rPr>
        <sz val="11"/>
        <color theme="1"/>
        <rFont val="Calibri"/>
        <family val="2"/>
        <scheme val="minor"/>
      </rPr>
      <t>(1 previous order)</t>
    </r>
  </si>
  <si>
    <t>Members with 2 previous orders</t>
  </si>
  <si>
    <r>
      <t xml:space="preserve">Conversion rate </t>
    </r>
    <r>
      <rPr>
        <sz val="11"/>
        <color theme="1"/>
        <rFont val="Calibri"/>
        <family val="2"/>
        <scheme val="minor"/>
      </rPr>
      <t>(2x buyers/email receivers)</t>
    </r>
  </si>
  <si>
    <r>
      <t>Demand per buyer</t>
    </r>
    <r>
      <rPr>
        <sz val="11"/>
        <color theme="1"/>
        <rFont val="Calibri"/>
        <family val="2"/>
        <scheme val="minor"/>
      </rPr>
      <t xml:space="preserve"> (2 previous orders)</t>
    </r>
  </si>
  <si>
    <t>Secondary KPIs - margin</t>
  </si>
  <si>
    <t>Margin per buyer</t>
  </si>
  <si>
    <t>Margin per email sent</t>
  </si>
  <si>
    <r>
      <t>Secondary KPIs - Email/Push Engagement metrics</t>
    </r>
    <r>
      <rPr>
        <sz val="11"/>
        <color theme="4"/>
        <rFont val="Calibri"/>
        <family val="2"/>
        <scheme val="minor"/>
      </rPr>
      <t xml:space="preserve"> (all email/push received during measurement windows)</t>
    </r>
  </si>
  <si>
    <r>
      <t xml:space="preserve">Email open rate </t>
    </r>
    <r>
      <rPr>
        <sz val="11"/>
        <color theme="1"/>
        <rFont val="Calibri"/>
        <family val="2"/>
        <scheme val="minor"/>
      </rPr>
      <t>(against sends)</t>
    </r>
  </si>
  <si>
    <r>
      <t xml:space="preserve">Email click rate </t>
    </r>
    <r>
      <rPr>
        <sz val="11"/>
        <color theme="1"/>
        <rFont val="Calibri"/>
        <family val="2"/>
        <scheme val="minor"/>
      </rPr>
      <t>(against sends)</t>
    </r>
  </si>
  <si>
    <t>Secondary KPIs - Site/app Engagement metrics</t>
  </si>
  <si>
    <t>Visits per known member</t>
  </si>
  <si>
    <t>PDP favorite per known member</t>
  </si>
  <si>
    <t>Add to cart per known member</t>
  </si>
  <si>
    <t>Workouts per known member</t>
  </si>
  <si>
    <t>Secondary KPIs - product mix</t>
  </si>
  <si>
    <t>Footwear demand per member</t>
  </si>
  <si>
    <t>Apparel demand per member</t>
  </si>
  <si>
    <t>Equipment demand per member</t>
  </si>
  <si>
    <t>Footwear demand per buyer</t>
  </si>
  <si>
    <t>Apparel demand per buyer</t>
  </si>
  <si>
    <t>Equipment demand per buyer</t>
  </si>
  <si>
    <t>Jordan demand per buyer</t>
  </si>
  <si>
    <t>Secondary KPIs - LOB</t>
  </si>
  <si>
    <t>Regular product (base inline) demand per member</t>
  </si>
  <si>
    <t>Clearance demand per member</t>
  </si>
  <si>
    <t>Launch demand per member</t>
  </si>
  <si>
    <t>Regular product (base inline) demand per buyer</t>
  </si>
  <si>
    <t>Clearance demand per buyer</t>
  </si>
  <si>
    <t>Launch demand per buyer</t>
  </si>
  <si>
    <t>avg_site_app_visits</t>
  </si>
  <si>
    <t>avg_PDP_FAVORITE_COUNT</t>
  </si>
  <si>
    <t>avg_ADD_TO_CART_COUNT</t>
  </si>
  <si>
    <t>avg_physical_activity</t>
  </si>
  <si>
    <t>avg_margin</t>
  </si>
  <si>
    <t>base_FW_demand</t>
  </si>
  <si>
    <t>base_AP_demand</t>
  </si>
  <si>
    <t>base_EQ_demand</t>
  </si>
  <si>
    <t>clr_FW_demand</t>
  </si>
  <si>
    <t>clr_AP_demand</t>
  </si>
  <si>
    <t>clr_EQ_demand</t>
  </si>
  <si>
    <t>launch_FW_demand</t>
  </si>
  <si>
    <t>launch_AP_demand</t>
  </si>
  <si>
    <t>launch_EQ_demand</t>
  </si>
  <si>
    <t>rest_demand</t>
  </si>
  <si>
    <t>1_priorOrder</t>
  </si>
  <si>
    <t>pctBuyers_1_priorOrder</t>
  </si>
  <si>
    <t>DPB_1_prior</t>
  </si>
  <si>
    <t>2_priorOrder</t>
  </si>
  <si>
    <t>pctBuyers_2_priorOrder</t>
  </si>
  <si>
    <t>DPB_2_prior</t>
  </si>
  <si>
    <t>preferred_gender</t>
  </si>
  <si>
    <t>age_group</t>
  </si>
  <si>
    <t>Gender</t>
  </si>
  <si>
    <t>Age Group</t>
  </si>
  <si>
    <t>Members</t>
  </si>
  <si>
    <t>Conversion Rate</t>
  </si>
  <si>
    <t>Demand</t>
  </si>
  <si>
    <t>24 &amp; U</t>
  </si>
  <si>
    <t>25 - 34</t>
  </si>
  <si>
    <t>35 - 44</t>
  </si>
  <si>
    <t>45+</t>
  </si>
  <si>
    <t>platform</t>
  </si>
  <si>
    <t>pct of Buyers</t>
  </si>
  <si>
    <t>avg Demand</t>
  </si>
  <si>
    <t>Desktop</t>
  </si>
  <si>
    <t>non-Desktop</t>
  </si>
  <si>
    <t>Demand: Test with assumption of unequal variance between groups</t>
  </si>
  <si>
    <t>Conversions: Test with assumption of equal variance between groups</t>
  </si>
  <si>
    <t>Input parameters</t>
  </si>
  <si>
    <t>Symbol</t>
  </si>
  <si>
    <t>Calculation</t>
  </si>
  <si>
    <t>Control group average sales</t>
  </si>
  <si>
    <t>x1</t>
  </si>
  <si>
    <t>Control group response rate</t>
  </si>
  <si>
    <t>p1</t>
  </si>
  <si>
    <t>Avg. sales of group that was not exposed to campaign</t>
  </si>
  <si>
    <t>Response rate of group that was not exposed to campaign</t>
  </si>
  <si>
    <t>Test group average sales</t>
  </si>
  <si>
    <t>x2</t>
  </si>
  <si>
    <t>Test group response rate</t>
  </si>
  <si>
    <t>p2</t>
  </si>
  <si>
    <t>Avg. sales of group that was exposed to campaign</t>
  </si>
  <si>
    <t>Response rate of group that was exposed to campaign</t>
  </si>
  <si>
    <t>Std. deviation of control group sales</t>
  </si>
  <si>
    <t>s1</t>
  </si>
  <si>
    <t>Lift - test vs. control (abs. % point)</t>
  </si>
  <si>
    <t>Δ</t>
  </si>
  <si>
    <t>Std dev of sales for group that was not exposed to campaign</t>
  </si>
  <si>
    <t>Abs. difference you'd like to detect due to marketing campaign</t>
  </si>
  <si>
    <t>Std. deviation of test group sales</t>
  </si>
  <si>
    <t>s2</t>
  </si>
  <si>
    <t>Control group sample size</t>
  </si>
  <si>
    <t>n1</t>
  </si>
  <si>
    <t>Std dev of sales for group that was exposed to campaign</t>
  </si>
  <si>
    <t>Sample size of group that was not exposed to campaign</t>
  </si>
  <si>
    <t>Test group sample size</t>
  </si>
  <si>
    <t>n2</t>
  </si>
  <si>
    <t>Sample size of group that was exposed to campaign</t>
  </si>
  <si>
    <t>Output - Significance</t>
  </si>
  <si>
    <t>Acheived confidence level</t>
  </si>
  <si>
    <t>1−α</t>
  </si>
  <si>
    <t>Type I error</t>
  </si>
  <si>
    <t>α</t>
  </si>
  <si>
    <t>Type I Error</t>
  </si>
  <si>
    <t>Calculation steps</t>
  </si>
  <si>
    <t>Difference of proportions</t>
  </si>
  <si>
    <t>p2-p1</t>
  </si>
  <si>
    <t>Standard error</t>
  </si>
  <si>
    <t>s.e.</t>
  </si>
  <si>
    <t>Absolute difference between means</t>
  </si>
  <si>
    <t>z value</t>
  </si>
  <si>
    <t>p2-p1/s.e.</t>
  </si>
  <si>
    <t>Δ/s.e.</t>
  </si>
  <si>
    <t>Sales Amounts</t>
  </si>
  <si>
    <t>Response Rates</t>
  </si>
  <si>
    <t>Planning Campaigns</t>
  </si>
  <si>
    <t>Items</t>
  </si>
  <si>
    <t>Symbolic</t>
  </si>
  <si>
    <t>Enter the information you want the test to run</t>
  </si>
  <si>
    <t>Enter the information you want to test</t>
  </si>
  <si>
    <t>Control group conversion rate</t>
  </si>
  <si>
    <t>Test group conversion rate</t>
  </si>
  <si>
    <t>Lift - test vs. control (%)</t>
  </si>
  <si>
    <t>Δ %</t>
  </si>
  <si>
    <t>% difference you'd like to detect due to marketing campaign</t>
  </si>
  <si>
    <t>Pooled standard deviation of 2 groups</t>
  </si>
  <si>
    <t>Sp</t>
  </si>
  <si>
    <t>Desired confidence level</t>
  </si>
  <si>
    <t>Average std deviation of test &amp; control group</t>
  </si>
  <si>
    <t>Statistical confidence in results, typical value is 95%</t>
  </si>
  <si>
    <t>Power</t>
  </si>
  <si>
    <t>1−β</t>
  </si>
  <si>
    <t>Chance of finding an effect, if it exists, typical value is 80%</t>
  </si>
  <si>
    <t>Ratio of test to control group sample size</t>
  </si>
  <si>
    <t>r</t>
  </si>
  <si>
    <t>Ratio of test to control sample size</t>
  </si>
  <si>
    <t>One-sided or two-sided test</t>
  </si>
  <si>
    <t>α OR α ⁄ 2</t>
  </si>
  <si>
    <t>One sided tests hypothesis unidirectionally i.e. higher or lower</t>
  </si>
  <si>
    <t>One sided or two sided test</t>
  </si>
  <si>
    <t>Two sided tests hypothesis in both directions</t>
  </si>
  <si>
    <t>Output - Sample sizes</t>
  </si>
  <si>
    <t>Recommended control group size</t>
  </si>
  <si>
    <t>Recommended test group size</t>
  </si>
  <si>
    <t>r*n1</t>
  </si>
  <si>
    <t>Total sample size</t>
  </si>
  <si>
    <t>n1+r*n1</t>
  </si>
  <si>
    <t>Abs means diff squared * ratio of groups</t>
  </si>
  <si>
    <t>Δ squared * r</t>
  </si>
  <si>
    <t>p hat</t>
  </si>
  <si>
    <t>(zβ + zα) sqrd * Pooled std dev sqrd * ratio of groups</t>
  </si>
  <si>
    <t>q hat</t>
  </si>
  <si>
    <t>1−α ⁄ 2 percentile of a standard normal distribution</t>
  </si>
  <si>
    <t xml:space="preserve">zα2 </t>
  </si>
  <si>
    <t>1−α percentile of a standard normal distribution</t>
  </si>
  <si>
    <t>zα</t>
  </si>
  <si>
    <t>1−β percentile of a standard normal distribution</t>
  </si>
  <si>
    <t>zβ</t>
  </si>
  <si>
    <t>m1</t>
  </si>
  <si>
    <t>m2</t>
  </si>
  <si>
    <t>Determining Power</t>
  </si>
  <si>
    <t>Desired statistical confidence in results, typical value is 95%</t>
  </si>
  <si>
    <t>One sided vs two sided test</t>
  </si>
  <si>
    <t>Output - Power</t>
  </si>
  <si>
    <t>Acheived Power</t>
  </si>
  <si>
    <t>1-β</t>
  </si>
  <si>
    <t>(what's this?)</t>
  </si>
  <si>
    <t>Numerator - Abs. diff. between means</t>
  </si>
  <si>
    <t>Denominator term</t>
  </si>
  <si>
    <t>numerator (1st term)</t>
  </si>
  <si>
    <t>Numerator by denominator</t>
  </si>
  <si>
    <t>numerator (2nd term)</t>
  </si>
  <si>
    <t>zpower</t>
  </si>
  <si>
    <t>denominator</t>
  </si>
  <si>
    <t>z beta</t>
  </si>
  <si>
    <t>test with assumption of equal variance between groups</t>
  </si>
  <si>
    <t>assumption of unequal variance between groups</t>
  </si>
  <si>
    <t>type I error</t>
  </si>
  <si>
    <t xml:space="preserve">p2-p1 </t>
  </si>
  <si>
    <t>Pooled standard deviation</t>
  </si>
  <si>
    <t>s1+s2</t>
  </si>
  <si>
    <t>email_sent</t>
  </si>
  <si>
    <t>email_opens</t>
  </si>
  <si>
    <t>email_clicks</t>
  </si>
  <si>
    <t>email_purch</t>
  </si>
  <si>
    <t>email_demand</t>
  </si>
  <si>
    <t>email_open_rate</t>
  </si>
  <si>
    <t>email_click_rate</t>
  </si>
  <si>
    <t>email_conversion_rate</t>
  </si>
  <si>
    <t>F</t>
  </si>
  <si>
    <t>holdout</t>
  </si>
  <si>
    <t>Re-Balancing Block</t>
  </si>
  <si>
    <t>Secondary KPIs - First Usage</t>
  </si>
  <si>
    <t>App First Usage</t>
  </si>
  <si>
    <t>first_usage</t>
  </si>
  <si>
    <t>UNKNOWN</t>
  </si>
  <si>
    <t xml:space="preserve"> </t>
  </si>
  <si>
    <t>Audience Size</t>
  </si>
  <si>
    <t>Goal: Demand per push sent (conversion rate * avg demand)</t>
  </si>
  <si>
    <t>Demand per buyer (avg demand)</t>
  </si>
  <si>
    <t>% lift</t>
  </si>
  <si>
    <t>AOV (avg order value)</t>
  </si>
  <si>
    <t>AUR (demand / units sold)</t>
  </si>
  <si>
    <t>UPT (demand / order count)</t>
  </si>
  <si>
    <t># Transacrtiions (avg demand / avg order value)</t>
  </si>
  <si>
    <t>Conversion rate (buyers/email receivers)</t>
  </si>
  <si>
    <t>Conversion rate (1x buyers/email receivers)</t>
  </si>
  <si>
    <t>Demand per Buyer (1 previous order)</t>
  </si>
  <si>
    <t>Conversion rate (2x buyers/email receivers)</t>
  </si>
  <si>
    <t>Demand per buyer (2 previous orders)</t>
  </si>
  <si>
    <t>Email open rate (against sends)</t>
  </si>
  <si>
    <t>Email click rate (against sends)</t>
  </si>
  <si>
    <t>Lift</t>
  </si>
  <si>
    <t>Signifigance</t>
  </si>
  <si>
    <t>Audience Size: (buying members)</t>
  </si>
  <si>
    <t>=</t>
  </si>
  <si>
    <t>margin per buyer * conversion rate</t>
  </si>
  <si>
    <t>(base_FW_demand + clr_FW_demand + launch_FW_demand) * conversion_rate</t>
  </si>
  <si>
    <t>(base_AP_demand + clr_AP_demand + launch_AP_demand) * conversion_rate</t>
  </si>
  <si>
    <t>Eqiupment demand per member</t>
  </si>
  <si>
    <t>(base_EQ_demand + clr_EQ_demand + launch_EQ_demand) * conversion_rate</t>
  </si>
  <si>
    <t>(base_FW_demand + base_AP_demand + base_EQ_demand)*conversion_rate</t>
  </si>
  <si>
    <t>(clr_FW_demand + clr_AP_demand + clr_EQ_demand) * conversion_rate</t>
  </si>
  <si>
    <t>(launch_FW_demand + launch_AP_demand + launch_EQ_demand)*conversion_rate</t>
  </si>
  <si>
    <t>Type I Error (p-value)</t>
  </si>
  <si>
    <t>Significance (α)</t>
  </si>
  <si>
    <t>1-α</t>
  </si>
  <si>
    <t>Significance Level</t>
  </si>
  <si>
    <t>Confidence Level</t>
  </si>
  <si>
    <t>p-value</t>
  </si>
  <si>
    <t>The p-value of the test is ( 1 - NORM.S.DIST(z_score, TRUE) )</t>
  </si>
  <si>
    <t>Achieved Confidence Level</t>
  </si>
  <si>
    <t>Signifcance Level</t>
  </si>
  <si>
    <t>1 − (p-value)</t>
  </si>
  <si>
    <r>
      <t xml:space="preserve">( </t>
    </r>
    <r>
      <rPr>
        <b/>
        <sz val="11"/>
        <color theme="1"/>
        <rFont val="Calibri"/>
        <family val="2"/>
        <scheme val="minor"/>
      </rPr>
      <t>1-NORMSDIST(z-score)</t>
    </r>
    <r>
      <rPr>
        <sz val="11"/>
        <color theme="1"/>
        <rFont val="Calibri"/>
        <family val="2"/>
        <scheme val="minor"/>
      </rPr>
      <t xml:space="preserve"> ) in a right-tailed test returns the p-value</t>
    </r>
  </si>
  <si>
    <r>
      <rPr>
        <b/>
        <sz val="11"/>
        <color theme="1"/>
        <rFont val="Calibri"/>
        <family val="2"/>
        <scheme val="minor"/>
      </rPr>
      <t>NORMSDIST(z-score)</t>
    </r>
    <r>
      <rPr>
        <sz val="11"/>
        <color theme="1"/>
        <rFont val="Calibri"/>
        <family val="2"/>
        <scheme val="minor"/>
      </rPr>
      <t xml:space="preserve"> in a left-tailed test returns the p-value.</t>
    </r>
  </si>
  <si>
    <t>NORMSDIST(z-score) returns the CDF.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</si>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</sst>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#,##0.000"/>
    <numFmt numFmtId="167" formatCode="_(* #,##0_);_(* \(#,##0\);_(* &quot;-&quot;??_);_(@_)"/>
    <numFmt numFmtId="168" formatCode="0.00000_);\(0.00000\)"/>
    <numFmt numFmtId="169" formatCode="0.000%"/>
    <numFmt numFmtId="170" formatCode="_(&quot;$&quot;* #,##0_);_(&quot;$&quot;* \(#,##0\);_(&quot;$&quot;* &quot;-&quot;??_);_(@_)"/>
    <numFmt numFmtId="171" formatCode="&quot;$&quot;#,##0.00"/>
    <numFmt numFmtId="172" formatCode="_(* #,##0.000_);_(* \(#,##0.000\);_(* &quot;-&quot;??_);_(@_)"/>
    <numFmt numFmtId="173" formatCode="_(&quot;$&quot;* #,##0.0_);_(&quot;$&quot;* \(#,##0.0\);_(&quot;$&quot;* &quot;-&quot;??_);_(@_)"/>
    <numFmt numFmtId="174" formatCode="#,##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9"/>
      <color indexed="22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i/>
      <sz val="9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EEEEEE"/>
      </left>
      <right/>
      <top style="medium">
        <color rgb="FF00000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medium">
        <color rgb="FFEEEEEE"/>
      </left>
      <right/>
      <top style="medium">
        <color rgb="FFD3D3D3"/>
      </top>
      <bottom style="medium">
        <color rgb="FFD3D3D3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3D3D3"/>
      </top>
      <bottom/>
      <diagonal/>
    </border>
    <border>
      <left/>
      <right style="thin">
        <color theme="9" tint="0.39997558519241921"/>
      </right>
      <top style="medium">
        <color rgb="FFD3D3D3"/>
      </top>
      <bottom/>
      <diagonal/>
    </border>
    <border>
      <left/>
      <right/>
      <top style="thin">
        <color theme="9" tint="0.39997558519241921"/>
      </top>
      <bottom style="medium">
        <color rgb="FFD3D3D3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rgb="FFD3D3D3"/>
      </bottom>
      <diagonal/>
    </border>
    <border>
      <left style="thin">
        <color theme="9" tint="0.39997558519241921"/>
      </left>
      <right/>
      <top style="medium">
        <color rgb="FFD3D3D3"/>
      </top>
      <bottom/>
      <diagonal/>
    </border>
    <border>
      <left style="thin">
        <color theme="0"/>
      </left>
      <right/>
      <top style="medium">
        <color rgb="FFD3D3D3"/>
      </top>
      <bottom/>
      <diagonal/>
    </border>
    <border>
      <left style="thin">
        <color theme="0"/>
      </left>
      <right style="thin">
        <color theme="9" tint="0.39997558519241921"/>
      </right>
      <top style="medium">
        <color rgb="FFD3D3D3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7" fillId="0" borderId="3" applyNumberFormat="0" applyFill="0" applyAlignment="0" applyProtection="0"/>
    <xf numFmtId="0" fontId="24" fillId="0" borderId="0" applyNumberFormat="0" applyFill="0" applyBorder="0" applyAlignment="0" applyProtection="0"/>
  </cellStyleXfs>
  <cellXfs count="308">
    <xf numFmtId="0" fontId="0" fillId="0" borderId="0" xfId="0"/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0" fillId="4" borderId="4" xfId="0" applyFont="1" applyFill="1" applyBorder="1"/>
    <xf numFmtId="0" fontId="10" fillId="4" borderId="5" xfId="0" applyFont="1" applyFill="1" applyBorder="1"/>
    <xf numFmtId="0" fontId="10" fillId="4" borderId="5" xfId="0" applyFont="1" applyFill="1" applyBorder="1" applyAlignment="1">
      <alignment horizontal="right"/>
    </xf>
    <xf numFmtId="0" fontId="11" fillId="4" borderId="6" xfId="0" applyFont="1" applyFill="1" applyBorder="1"/>
    <xf numFmtId="0" fontId="11" fillId="4" borderId="7" xfId="0" applyFont="1" applyFill="1" applyBorder="1"/>
    <xf numFmtId="0" fontId="12" fillId="5" borderId="8" xfId="0" applyFont="1" applyFill="1" applyBorder="1"/>
    <xf numFmtId="0" fontId="12" fillId="5" borderId="9" xfId="0" applyFont="1" applyFill="1" applyBorder="1"/>
    <xf numFmtId="0" fontId="12" fillId="5" borderId="10" xfId="0" applyFont="1" applyFill="1" applyBorder="1"/>
    <xf numFmtId="0" fontId="11" fillId="4" borderId="11" xfId="0" applyFont="1" applyFill="1" applyBorder="1" applyAlignment="1">
      <alignment horizontal="right"/>
    </xf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0" fillId="4" borderId="11" xfId="0" applyFont="1" applyFill="1" applyBorder="1" applyAlignment="1">
      <alignment horizontal="right"/>
    </xf>
    <xf numFmtId="0" fontId="10" fillId="6" borderId="12" xfId="0" applyFont="1" applyFill="1" applyBorder="1" applyAlignment="1" applyProtection="1">
      <alignment horizontal="center"/>
      <protection locked="0"/>
    </xf>
    <xf numFmtId="0" fontId="13" fillId="4" borderId="0" xfId="0" applyFont="1" applyFill="1"/>
    <xf numFmtId="9" fontId="10" fillId="4" borderId="0" xfId="0" applyNumberFormat="1" applyFont="1" applyFill="1" applyAlignment="1" applyProtection="1">
      <alignment horizontal="center"/>
      <protection locked="0"/>
    </xf>
    <xf numFmtId="1" fontId="10" fillId="4" borderId="11" xfId="0" applyNumberFormat="1" applyFont="1" applyFill="1" applyBorder="1" applyAlignment="1">
      <alignment horizontal="right"/>
    </xf>
    <xf numFmtId="164" fontId="10" fillId="6" borderId="12" xfId="0" applyNumberFormat="1" applyFont="1" applyFill="1" applyBorder="1" applyAlignment="1" applyProtection="1">
      <alignment horizontal="center"/>
      <protection locked="0"/>
    </xf>
    <xf numFmtId="0" fontId="10" fillId="4" borderId="7" xfId="0" applyFont="1" applyFill="1" applyBorder="1"/>
    <xf numFmtId="165" fontId="10" fillId="4" borderId="0" xfId="0" applyNumberFormat="1" applyFont="1" applyFill="1"/>
    <xf numFmtId="2" fontId="10" fillId="4" borderId="11" xfId="0" applyNumberFormat="1" applyFont="1" applyFill="1" applyBorder="1" applyAlignment="1">
      <alignment horizontal="right"/>
    </xf>
    <xf numFmtId="2" fontId="10" fillId="4" borderId="0" xfId="0" applyNumberFormat="1" applyFont="1" applyFill="1" applyAlignment="1">
      <alignment horizontal="center"/>
    </xf>
    <xf numFmtId="2" fontId="10" fillId="4" borderId="11" xfId="0" applyNumberFormat="1" applyFont="1" applyFill="1" applyBorder="1"/>
    <xf numFmtId="4" fontId="10" fillId="7" borderId="12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11" xfId="0" applyFont="1" applyBorder="1" applyAlignment="1">
      <alignment horizontal="right"/>
    </xf>
    <xf numFmtId="0" fontId="11" fillId="8" borderId="13" xfId="0" applyFont="1" applyFill="1" applyBorder="1"/>
    <xf numFmtId="0" fontId="14" fillId="8" borderId="14" xfId="0" applyFont="1" applyFill="1" applyBorder="1"/>
    <xf numFmtId="165" fontId="12" fillId="8" borderId="14" xfId="0" applyNumberFormat="1" applyFont="1" applyFill="1" applyBorder="1"/>
    <xf numFmtId="165" fontId="11" fillId="8" borderId="14" xfId="0" applyNumberFormat="1" applyFont="1" applyFill="1" applyBorder="1"/>
    <xf numFmtId="0" fontId="11" fillId="8" borderId="14" xfId="0" applyFont="1" applyFill="1" applyBorder="1" applyAlignment="1">
      <alignment horizontal="center"/>
    </xf>
    <xf numFmtId="2" fontId="10" fillId="8" borderId="15" xfId="0" applyNumberFormat="1" applyFont="1" applyFill="1" applyBorder="1" applyAlignment="1">
      <alignment horizontal="right"/>
    </xf>
    <xf numFmtId="0" fontId="10" fillId="8" borderId="7" xfId="0" applyFont="1" applyFill="1" applyBorder="1"/>
    <xf numFmtId="0" fontId="11" fillId="8" borderId="0" xfId="0" applyFont="1" applyFill="1"/>
    <xf numFmtId="0" fontId="10" fillId="8" borderId="0" xfId="0" applyFont="1" applyFill="1"/>
    <xf numFmtId="4" fontId="10" fillId="8" borderId="12" xfId="0" applyNumberFormat="1" applyFont="1" applyFill="1" applyBorder="1" applyAlignment="1">
      <alignment horizontal="center"/>
    </xf>
    <xf numFmtId="2" fontId="10" fillId="8" borderId="11" xfId="0" applyNumberFormat="1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0" fontId="10" fillId="8" borderId="16" xfId="0" applyFont="1" applyFill="1" applyBorder="1"/>
    <xf numFmtId="0" fontId="10" fillId="8" borderId="17" xfId="0" applyFont="1" applyFill="1" applyBorder="1"/>
    <xf numFmtId="0" fontId="10" fillId="8" borderId="17" xfId="0" applyFont="1" applyFill="1" applyBorder="1" applyAlignment="1">
      <alignment horizontal="right"/>
    </xf>
    <xf numFmtId="0" fontId="10" fillId="8" borderId="18" xfId="0" applyFont="1" applyFill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0" borderId="7" xfId="0" applyFont="1" applyBorder="1"/>
    <xf numFmtId="0" fontId="11" fillId="0" borderId="11" xfId="0" applyFont="1" applyBorder="1"/>
    <xf numFmtId="0" fontId="11" fillId="0" borderId="0" xfId="0" applyFont="1"/>
    <xf numFmtId="0" fontId="11" fillId="0" borderId="0" xfId="0" applyFont="1" applyAlignment="1">
      <alignment horizontal="right"/>
    </xf>
    <xf numFmtId="9" fontId="10" fillId="6" borderId="12" xfId="0" applyNumberFormat="1" applyFont="1" applyFill="1" applyBorder="1" applyAlignment="1" applyProtection="1">
      <alignment horizontal="center"/>
      <protection locked="0"/>
    </xf>
    <xf numFmtId="0" fontId="10" fillId="0" borderId="11" xfId="0" applyFont="1" applyBorder="1" applyAlignment="1">
      <alignment horizontal="right"/>
    </xf>
    <xf numFmtId="9" fontId="10" fillId="0" borderId="0" xfId="0" applyNumberFormat="1" applyFont="1" applyAlignment="1" applyProtection="1">
      <alignment horizontal="center"/>
      <protection locked="0"/>
    </xf>
    <xf numFmtId="1" fontId="10" fillId="0" borderId="11" xfId="0" applyNumberFormat="1" applyFont="1" applyBorder="1" applyAlignment="1">
      <alignment horizontal="right"/>
    </xf>
    <xf numFmtId="0" fontId="10" fillId="0" borderId="7" xfId="0" applyFont="1" applyBorder="1"/>
    <xf numFmtId="165" fontId="10" fillId="0" borderId="0" xfId="0" applyNumberFormat="1" applyFont="1"/>
    <xf numFmtId="2" fontId="10" fillId="0" borderId="0" xfId="0" applyNumberFormat="1" applyFont="1" applyAlignment="1">
      <alignment horizontal="center"/>
    </xf>
    <xf numFmtId="2" fontId="10" fillId="0" borderId="11" xfId="0" applyNumberFormat="1" applyFont="1" applyBorder="1" applyAlignment="1">
      <alignment horizontal="right"/>
    </xf>
    <xf numFmtId="0" fontId="17" fillId="5" borderId="10" xfId="0" applyFont="1" applyFill="1" applyBorder="1"/>
    <xf numFmtId="2" fontId="10" fillId="0" borderId="11" xfId="0" applyNumberFormat="1" applyFont="1" applyBorder="1"/>
    <xf numFmtId="0" fontId="10" fillId="0" borderId="0" xfId="0" applyFont="1" applyAlignment="1">
      <alignment horizontal="center"/>
    </xf>
    <xf numFmtId="165" fontId="14" fillId="8" borderId="14" xfId="0" applyNumberFormat="1" applyFont="1" applyFill="1" applyBorder="1"/>
    <xf numFmtId="0" fontId="11" fillId="8" borderId="19" xfId="0" applyFont="1" applyFill="1" applyBorder="1" applyAlignment="1">
      <alignment horizontal="right"/>
    </xf>
    <xf numFmtId="165" fontId="10" fillId="8" borderId="0" xfId="0" applyNumberFormat="1" applyFont="1" applyFill="1"/>
    <xf numFmtId="166" fontId="10" fillId="8" borderId="12" xfId="0" applyNumberFormat="1" applyFont="1" applyFill="1" applyBorder="1" applyAlignment="1">
      <alignment horizontal="center"/>
    </xf>
    <xf numFmtId="0" fontId="10" fillId="8" borderId="18" xfId="0" applyFont="1" applyFill="1" applyBorder="1" applyAlignment="1">
      <alignment horizontal="right"/>
    </xf>
    <xf numFmtId="44" fontId="10" fillId="6" borderId="12" xfId="0" applyNumberFormat="1" applyFont="1" applyFill="1" applyBorder="1" applyAlignment="1" applyProtection="1">
      <alignment horizontal="center"/>
      <protection locked="0"/>
    </xf>
    <xf numFmtId="43" fontId="10" fillId="6" borderId="12" xfId="0" applyNumberFormat="1" applyFont="1" applyFill="1" applyBorder="1" applyAlignment="1" applyProtection="1">
      <alignment horizontal="center"/>
      <protection locked="0"/>
    </xf>
    <xf numFmtId="0" fontId="11" fillId="4" borderId="7" xfId="0" applyFont="1" applyFill="1" applyBorder="1" applyAlignment="1">
      <alignment wrapText="1"/>
    </xf>
    <xf numFmtId="0" fontId="11" fillId="4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9" fontId="10" fillId="4" borderId="0" xfId="0" applyNumberFormat="1" applyFont="1" applyFill="1" applyAlignment="1" applyProtection="1">
      <alignment horizontal="center" wrapText="1"/>
      <protection locked="0"/>
    </xf>
    <xf numFmtId="0" fontId="10" fillId="4" borderId="11" xfId="0" applyFont="1" applyFill="1" applyBorder="1" applyAlignment="1">
      <alignment horizontal="right" wrapText="1"/>
    </xf>
    <xf numFmtId="0" fontId="10" fillId="4" borderId="7" xfId="0" applyFont="1" applyFill="1" applyBorder="1" applyAlignment="1">
      <alignment wrapText="1"/>
    </xf>
    <xf numFmtId="165" fontId="10" fillId="4" borderId="0" xfId="0" applyNumberFormat="1" applyFont="1" applyFill="1" applyAlignment="1">
      <alignment wrapText="1"/>
    </xf>
    <xf numFmtId="167" fontId="10" fillId="6" borderId="12" xfId="0" applyNumberFormat="1" applyFont="1" applyFill="1" applyBorder="1" applyAlignment="1" applyProtection="1">
      <alignment horizontal="center" wrapText="1"/>
      <protection locked="0"/>
    </xf>
    <xf numFmtId="167" fontId="10" fillId="6" borderId="12" xfId="0" applyNumberFormat="1" applyFont="1" applyFill="1" applyBorder="1" applyAlignment="1" applyProtection="1">
      <alignment horizontal="center"/>
      <protection locked="0"/>
    </xf>
    <xf numFmtId="9" fontId="10" fillId="4" borderId="0" xfId="0" applyNumberFormat="1" applyFont="1" applyFill="1" applyAlignment="1" applyProtection="1">
      <alignment horizontal="right"/>
      <protection locked="0"/>
    </xf>
    <xf numFmtId="0" fontId="11" fillId="8" borderId="14" xfId="0" applyFont="1" applyFill="1" applyBorder="1" applyAlignment="1">
      <alignment horizontal="right"/>
    </xf>
    <xf numFmtId="2" fontId="10" fillId="8" borderId="11" xfId="0" applyNumberFormat="1" applyFont="1" applyFill="1" applyBorder="1"/>
    <xf numFmtId="165" fontId="10" fillId="6" borderId="12" xfId="0" applyNumberFormat="1" applyFont="1" applyFill="1" applyBorder="1" applyAlignment="1" applyProtection="1">
      <alignment horizontal="center"/>
      <protection locked="0"/>
    </xf>
    <xf numFmtId="10" fontId="10" fillId="6" borderId="12" xfId="0" applyNumberFormat="1" applyFont="1" applyFill="1" applyBorder="1" applyAlignment="1" applyProtection="1">
      <alignment horizontal="center"/>
      <protection locked="0"/>
    </xf>
    <xf numFmtId="0" fontId="0" fillId="0" borderId="6" xfId="0" applyBorder="1"/>
    <xf numFmtId="0" fontId="0" fillId="0" borderId="11" xfId="0" applyBorder="1"/>
    <xf numFmtId="165" fontId="10" fillId="0" borderId="0" xfId="0" applyNumberFormat="1" applyFont="1" applyAlignment="1" applyProtection="1">
      <alignment horizontal="center"/>
      <protection locked="0"/>
    </xf>
    <xf numFmtId="2" fontId="10" fillId="0" borderId="0" xfId="0" applyNumberFormat="1" applyFont="1" applyAlignment="1">
      <alignment horizontal="right"/>
    </xf>
    <xf numFmtId="0" fontId="0" fillId="0" borderId="18" xfId="0" applyBorder="1"/>
    <xf numFmtId="0" fontId="12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9" fontId="10" fillId="6" borderId="12" xfId="3" applyFont="1" applyFill="1" applyBorder="1" applyAlignment="1" applyProtection="1">
      <alignment horizontal="center" vertical="center"/>
      <protection locked="0"/>
    </xf>
    <xf numFmtId="9" fontId="10" fillId="0" borderId="11" xfId="0" applyNumberFormat="1" applyFont="1" applyBorder="1" applyAlignment="1">
      <alignment horizontal="right"/>
    </xf>
    <xf numFmtId="0" fontId="13" fillId="0" borderId="0" xfId="0" applyFont="1"/>
    <xf numFmtId="2" fontId="11" fillId="0" borderId="0" xfId="0" applyNumberFormat="1" applyFont="1" applyAlignment="1">
      <alignment horizontal="center"/>
    </xf>
    <xf numFmtId="2" fontId="11" fillId="0" borderId="11" xfId="0" applyNumberFormat="1" applyFont="1" applyBorder="1" applyAlignment="1">
      <alignment horizontal="right"/>
    </xf>
    <xf numFmtId="3" fontId="10" fillId="7" borderId="12" xfId="0" applyNumberFormat="1" applyFont="1" applyFill="1" applyBorder="1" applyAlignment="1">
      <alignment horizontal="center"/>
    </xf>
    <xf numFmtId="3" fontId="10" fillId="0" borderId="11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65" fontId="0" fillId="8" borderId="0" xfId="0" applyNumberFormat="1" applyFill="1"/>
    <xf numFmtId="1" fontId="10" fillId="6" borderId="12" xfId="0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9" fontId="10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/>
    <xf numFmtId="4" fontId="10" fillId="8" borderId="17" xfId="0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4" borderId="6" xfId="0" applyFont="1" applyFill="1" applyBorder="1" applyAlignment="1">
      <alignment horizontal="right"/>
    </xf>
    <xf numFmtId="0" fontId="11" fillId="4" borderId="11" xfId="0" applyFont="1" applyFill="1" applyBorder="1"/>
    <xf numFmtId="9" fontId="10" fillId="6" borderId="12" xfId="3" applyFont="1" applyFill="1" applyBorder="1" applyAlignment="1" applyProtection="1">
      <alignment horizontal="center"/>
    </xf>
    <xf numFmtId="9" fontId="10" fillId="4" borderId="11" xfId="0" applyNumberFormat="1" applyFont="1" applyFill="1" applyBorder="1" applyAlignment="1">
      <alignment horizontal="right"/>
    </xf>
    <xf numFmtId="2" fontId="10" fillId="4" borderId="0" xfId="0" applyNumberFormat="1" applyFont="1" applyFill="1" applyAlignment="1">
      <alignment horizontal="right"/>
    </xf>
    <xf numFmtId="2" fontId="11" fillId="4" borderId="0" xfId="0" applyNumberFormat="1" applyFont="1" applyFill="1" applyAlignment="1">
      <alignment horizontal="right"/>
    </xf>
    <xf numFmtId="2" fontId="11" fillId="4" borderId="11" xfId="0" applyNumberFormat="1" applyFont="1" applyFill="1" applyBorder="1" applyAlignment="1">
      <alignment horizontal="right"/>
    </xf>
    <xf numFmtId="3" fontId="10" fillId="4" borderId="11" xfId="0" applyNumberFormat="1" applyFont="1" applyFill="1" applyBorder="1" applyAlignment="1">
      <alignment horizontal="right"/>
    </xf>
    <xf numFmtId="0" fontId="11" fillId="4" borderId="0" xfId="0" applyFont="1" applyFill="1" applyAlignment="1">
      <alignment horizontal="center"/>
    </xf>
    <xf numFmtId="2" fontId="10" fillId="8" borderId="12" xfId="0" applyNumberFormat="1" applyFont="1" applyFill="1" applyBorder="1" applyAlignment="1">
      <alignment horizontal="center"/>
    </xf>
    <xf numFmtId="165" fontId="10" fillId="6" borderId="12" xfId="0" applyNumberFormat="1" applyFont="1" applyFill="1" applyBorder="1" applyAlignment="1">
      <alignment horizontal="center"/>
    </xf>
    <xf numFmtId="2" fontId="10" fillId="4" borderId="0" xfId="0" applyNumberFormat="1" applyFont="1" applyFill="1"/>
    <xf numFmtId="2" fontId="10" fillId="8" borderId="15" xfId="0" applyNumberFormat="1" applyFont="1" applyFill="1" applyBorder="1"/>
    <xf numFmtId="3" fontId="10" fillId="8" borderId="12" xfId="0" applyNumberFormat="1" applyFont="1" applyFill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168" fontId="0" fillId="0" borderId="0" xfId="1" applyNumberFormat="1" applyFont="1"/>
    <xf numFmtId="0" fontId="7" fillId="0" borderId="0" xfId="0" applyFont="1"/>
    <xf numFmtId="168" fontId="7" fillId="0" borderId="0" xfId="1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5" applyAlignment="1">
      <alignment vertical="center"/>
    </xf>
    <xf numFmtId="0" fontId="3" fillId="0" borderId="1" xfId="5" applyAlignment="1">
      <alignment vertical="center" wrapText="1"/>
    </xf>
    <xf numFmtId="0" fontId="3" fillId="0" borderId="1" xfId="5" applyAlignment="1">
      <alignment horizontal="center" vertical="center"/>
    </xf>
    <xf numFmtId="0" fontId="3" fillId="0" borderId="1" xfId="5"/>
    <xf numFmtId="0" fontId="21" fillId="0" borderId="0" xfId="4" applyFont="1" applyAlignment="1">
      <alignment vertical="center"/>
    </xf>
    <xf numFmtId="0" fontId="22" fillId="0" borderId="0" xfId="0" applyFont="1" applyAlignment="1">
      <alignment horizontal="left" vertical="center" readingOrder="1"/>
    </xf>
    <xf numFmtId="0" fontId="2" fillId="0" borderId="0" xfId="4" applyAlignment="1">
      <alignment vertical="center"/>
    </xf>
    <xf numFmtId="0" fontId="2" fillId="0" borderId="0" xfId="4" applyAlignment="1">
      <alignment horizontal="center" vertical="center"/>
    </xf>
    <xf numFmtId="0" fontId="2" fillId="0" borderId="0" xfId="4"/>
    <xf numFmtId="0" fontId="24" fillId="0" borderId="0" xfId="9" applyAlignment="1">
      <alignment horizontal="center"/>
    </xf>
    <xf numFmtId="0" fontId="0" fillId="0" borderId="0" xfId="0" quotePrefix="1" applyAlignment="1">
      <alignment vertical="center"/>
    </xf>
    <xf numFmtId="0" fontId="7" fillId="0" borderId="3" xfId="8" applyAlignment="1">
      <alignment vertical="center"/>
    </xf>
    <xf numFmtId="14" fontId="7" fillId="0" borderId="3" xfId="8" applyNumberFormat="1" applyAlignment="1">
      <alignment vertical="center"/>
    </xf>
    <xf numFmtId="0" fontId="7" fillId="0" borderId="3" xfId="8" applyAlignment="1">
      <alignment horizontal="center" vertical="center"/>
    </xf>
    <xf numFmtId="1" fontId="7" fillId="0" borderId="3" xfId="8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vertical="center"/>
    </xf>
    <xf numFmtId="169" fontId="0" fillId="0" borderId="0" xfId="3" applyNumberFormat="1" applyFont="1" applyAlignment="1">
      <alignment vertical="center"/>
    </xf>
    <xf numFmtId="0" fontId="5" fillId="3" borderId="2" xfId="7" applyAlignment="1">
      <alignment vertical="center" wrapText="1"/>
    </xf>
    <xf numFmtId="0" fontId="2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49" fontId="7" fillId="0" borderId="12" xfId="0" applyNumberFormat="1" applyFont="1" applyBorder="1" applyAlignment="1">
      <alignment wrapText="1"/>
    </xf>
    <xf numFmtId="44" fontId="0" fillId="0" borderId="12" xfId="0" applyNumberFormat="1" applyBorder="1" applyAlignment="1">
      <alignment wrapText="1"/>
    </xf>
    <xf numFmtId="0" fontId="7" fillId="0" borderId="12" xfId="0" applyFont="1" applyBorder="1" applyAlignment="1">
      <alignment horizontal="left" vertical="center" wrapText="1"/>
    </xf>
    <xf numFmtId="167" fontId="0" fillId="0" borderId="12" xfId="1" applyNumberFormat="1" applyFont="1" applyBorder="1" applyAlignment="1">
      <alignment horizontal="center" vertical="center"/>
    </xf>
    <xf numFmtId="165" fontId="23" fillId="12" borderId="12" xfId="6" applyNumberFormat="1" applyFont="1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26" fillId="0" borderId="0" xfId="6" applyNumberFormat="1" applyFont="1" applyFill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7" fontId="0" fillId="0" borderId="12" xfId="0" applyNumberFormat="1" applyBorder="1" applyAlignment="1">
      <alignment wrapText="1"/>
    </xf>
    <xf numFmtId="37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170" fontId="0" fillId="0" borderId="12" xfId="2" applyNumberFormat="1" applyFont="1" applyBorder="1" applyAlignment="1">
      <alignment wrapText="1"/>
    </xf>
    <xf numFmtId="171" fontId="0" fillId="0" borderId="12" xfId="2" applyNumberFormat="1" applyFont="1" applyBorder="1" applyAlignment="1">
      <alignment horizontal="center" vertical="center"/>
    </xf>
    <xf numFmtId="165" fontId="27" fillId="0" borderId="12" xfId="6" applyNumberFormat="1" applyFont="1" applyFill="1" applyBorder="1" applyAlignment="1">
      <alignment horizontal="center" vertical="center"/>
    </xf>
    <xf numFmtId="165" fontId="23" fillId="0" borderId="12" xfId="3" applyNumberFormat="1" applyFont="1" applyBorder="1" applyAlignment="1">
      <alignment horizontal="right" vertical="center"/>
    </xf>
    <xf numFmtId="10" fontId="0" fillId="0" borderId="12" xfId="3" applyNumberFormat="1" applyFont="1" applyBorder="1" applyAlignment="1">
      <alignment horizontal="center" vertical="center"/>
    </xf>
    <xf numFmtId="165" fontId="23" fillId="0" borderId="12" xfId="6" applyNumberFormat="1" applyFont="1" applyFill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170" fontId="23" fillId="0" borderId="12" xfId="2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0" fontId="2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7" fillId="0" borderId="12" xfId="0" applyFont="1" applyBorder="1" applyAlignment="1">
      <alignment horizontal="left" vertical="center"/>
    </xf>
    <xf numFmtId="10" fontId="23" fillId="0" borderId="12" xfId="6" applyNumberFormat="1" applyFont="1" applyFill="1" applyBorder="1" applyAlignment="1">
      <alignment horizontal="center" vertical="center"/>
    </xf>
    <xf numFmtId="10" fontId="23" fillId="0" borderId="0" xfId="6" applyNumberFormat="1" applyFont="1" applyFill="1" applyAlignment="1">
      <alignment vertical="center"/>
    </xf>
    <xf numFmtId="165" fontId="0" fillId="0" borderId="0" xfId="0" applyNumberFormat="1" applyAlignment="1">
      <alignment horizontal="center" vertical="center"/>
    </xf>
    <xf numFmtId="172" fontId="30" fillId="0" borderId="0" xfId="0" applyNumberFormat="1" applyFont="1" applyAlignment="1">
      <alignment vertical="center"/>
    </xf>
    <xf numFmtId="172" fontId="0" fillId="0" borderId="0" xfId="1" applyNumberFormat="1" applyFont="1" applyAlignment="1">
      <alignment vertical="center"/>
    </xf>
    <xf numFmtId="165" fontId="7" fillId="12" borderId="12" xfId="0" applyNumberFormat="1" applyFont="1" applyFill="1" applyBorder="1" applyAlignment="1">
      <alignment horizontal="center" vertical="center"/>
    </xf>
    <xf numFmtId="10" fontId="30" fillId="0" borderId="0" xfId="0" applyNumberFormat="1" applyFont="1" applyAlignment="1">
      <alignment vertical="center"/>
    </xf>
    <xf numFmtId="39" fontId="0" fillId="0" borderId="12" xfId="1" applyNumberFormat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172" fontId="30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right" vertical="center"/>
    </xf>
    <xf numFmtId="10" fontId="29" fillId="0" borderId="0" xfId="6" applyNumberFormat="1" applyFont="1" applyFill="1" applyAlignment="1">
      <alignment vertical="center"/>
    </xf>
    <xf numFmtId="165" fontId="29" fillId="0" borderId="0" xfId="0" applyNumberFormat="1" applyFont="1" applyAlignment="1">
      <alignment horizontal="center" vertical="center"/>
    </xf>
    <xf numFmtId="0" fontId="0" fillId="0" borderId="0" xfId="0" quotePrefix="1"/>
    <xf numFmtId="10" fontId="30" fillId="0" borderId="0" xfId="6" applyNumberFormat="1" applyFont="1" applyFill="1" applyAlignment="1">
      <alignment vertical="center"/>
    </xf>
    <xf numFmtId="165" fontId="30" fillId="0" borderId="0" xfId="0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0" fontId="23" fillId="0" borderId="0" xfId="6" applyNumberFormat="1" applyFont="1" applyFill="1" applyAlignment="1">
      <alignment horizontal="center" vertical="center"/>
    </xf>
    <xf numFmtId="0" fontId="0" fillId="15" borderId="24" xfId="3" applyNumberFormat="1" applyFont="1" applyFill="1" applyBorder="1" applyAlignment="1">
      <alignment horizontal="center" vertical="center" wrapText="1"/>
    </xf>
    <xf numFmtId="10" fontId="27" fillId="0" borderId="12" xfId="6" applyNumberFormat="1" applyFont="1" applyFill="1" applyBorder="1" applyAlignment="1">
      <alignment horizontal="center" vertical="center"/>
    </xf>
    <xf numFmtId="4" fontId="0" fillId="0" borderId="12" xfId="1" applyNumberFormat="1" applyFont="1" applyBorder="1" applyAlignment="1">
      <alignment horizontal="center" vertical="center"/>
    </xf>
    <xf numFmtId="3" fontId="0" fillId="0" borderId="12" xfId="2" applyNumberFormat="1" applyFon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71" fontId="0" fillId="0" borderId="12" xfId="1" applyNumberFormat="1" applyFont="1" applyBorder="1" applyAlignment="1">
      <alignment horizontal="center" vertical="center"/>
    </xf>
    <xf numFmtId="0" fontId="0" fillId="15" borderId="27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25" xfId="0" applyBorder="1"/>
    <xf numFmtId="3" fontId="0" fillId="0" borderId="0" xfId="0" applyNumberFormat="1"/>
    <xf numFmtId="17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11" borderId="20" xfId="0" applyFill="1" applyBorder="1"/>
    <xf numFmtId="0" fontId="0" fillId="11" borderId="29" xfId="0" applyFill="1" applyBorder="1"/>
    <xf numFmtId="0" fontId="0" fillId="0" borderId="20" xfId="0" applyBorder="1"/>
    <xf numFmtId="0" fontId="0" fillId="0" borderId="29" xfId="0" applyBorder="1"/>
    <xf numFmtId="167" fontId="0" fillId="0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15" borderId="24" xfId="3" applyNumberFormat="1" applyFont="1" applyFill="1" applyBorder="1" applyAlignment="1">
      <alignment horizontal="center" wrapText="1"/>
    </xf>
    <xf numFmtId="4" fontId="0" fillId="15" borderId="0" xfId="3" applyNumberFormat="1" applyFont="1" applyFill="1" applyBorder="1" applyAlignment="1">
      <alignment horizont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" fillId="0" borderId="0" xfId="4" applyFill="1" applyBorder="1"/>
    <xf numFmtId="0" fontId="21" fillId="0" borderId="0" xfId="4" applyFont="1" applyFill="1" applyBorder="1" applyAlignment="1">
      <alignment wrapText="1"/>
    </xf>
    <xf numFmtId="0" fontId="2" fillId="0" borderId="0" xfId="4" applyFill="1" applyBorder="1" applyAlignment="1">
      <alignment wrapText="1"/>
    </xf>
    <xf numFmtId="0" fontId="7" fillId="0" borderId="0" xfId="8" applyFill="1" applyBorder="1" applyAlignment="1">
      <alignment vertical="center"/>
    </xf>
    <xf numFmtId="0" fontId="7" fillId="0" borderId="0" xfId="8" applyFill="1" applyBorder="1" applyAlignment="1">
      <alignment vertical="center" wrapText="1"/>
    </xf>
    <xf numFmtId="0" fontId="3" fillId="0" borderId="0" xfId="5" applyBorder="1"/>
    <xf numFmtId="0" fontId="3" fillId="0" borderId="0" xfId="5" applyBorder="1" applyAlignment="1">
      <alignment wrapText="1"/>
    </xf>
    <xf numFmtId="0" fontId="0" fillId="0" borderId="23" xfId="0" applyBorder="1"/>
    <xf numFmtId="0" fontId="0" fillId="0" borderId="26" xfId="0" applyBorder="1"/>
    <xf numFmtId="0" fontId="0" fillId="0" borderId="28" xfId="0" applyBorder="1"/>
    <xf numFmtId="0" fontId="0" fillId="11" borderId="28" xfId="0" applyFill="1" applyBorder="1"/>
    <xf numFmtId="171" fontId="6" fillId="10" borderId="28" xfId="0" applyNumberFormat="1" applyFont="1" applyFill="1" applyBorder="1"/>
    <xf numFmtId="171" fontId="6" fillId="10" borderId="20" xfId="0" applyNumberFormat="1" applyFont="1" applyFill="1" applyBorder="1"/>
    <xf numFmtId="171" fontId="6" fillId="10" borderId="29" xfId="0" applyNumberFormat="1" applyFont="1" applyFill="1" applyBorder="1"/>
    <xf numFmtId="3" fontId="20" fillId="0" borderId="0" xfId="0" applyNumberFormat="1" applyFont="1"/>
    <xf numFmtId="171" fontId="20" fillId="0" borderId="0" xfId="0" applyNumberFormat="1" applyFont="1"/>
    <xf numFmtId="2" fontId="20" fillId="0" borderId="0" xfId="0" applyNumberFormat="1" applyFont="1"/>
    <xf numFmtId="10" fontId="0" fillId="0" borderId="12" xfId="3" applyNumberFormat="1" applyFont="1" applyFill="1" applyBorder="1" applyAlignment="1">
      <alignment horizontal="center" vertical="center"/>
    </xf>
    <xf numFmtId="2" fontId="10" fillId="6" borderId="12" xfId="0" applyNumberFormat="1" applyFont="1" applyFill="1" applyBorder="1" applyAlignment="1" applyProtection="1">
      <alignment horizontal="center"/>
      <protection locked="0"/>
    </xf>
    <xf numFmtId="168" fontId="20" fillId="0" borderId="0" xfId="1" applyNumberFormat="1" applyFont="1"/>
    <xf numFmtId="0" fontId="6" fillId="16" borderId="0" xfId="0" applyFont="1" applyFill="1"/>
    <xf numFmtId="0" fontId="23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0" fillId="11" borderId="21" xfId="0" applyFill="1" applyBorder="1"/>
    <xf numFmtId="0" fontId="0" fillId="11" borderId="22" xfId="0" applyFill="1" applyBorder="1"/>
    <xf numFmtId="0" fontId="6" fillId="10" borderId="28" xfId="0" applyFont="1" applyFill="1" applyBorder="1" applyAlignment="1">
      <alignment horizontal="left"/>
    </xf>
    <xf numFmtId="0" fontId="6" fillId="10" borderId="20" xfId="0" applyFont="1" applyFill="1" applyBorder="1"/>
    <xf numFmtId="168" fontId="6" fillId="10" borderId="20" xfId="1" applyNumberFormat="1" applyFont="1" applyFill="1" applyBorder="1"/>
    <xf numFmtId="0" fontId="6" fillId="10" borderId="29" xfId="0" applyFont="1" applyFill="1" applyBorder="1"/>
    <xf numFmtId="0" fontId="27" fillId="14" borderId="37" xfId="0" applyFont="1" applyFill="1" applyBorder="1" applyAlignment="1">
      <alignment horizontal="center" wrapText="1"/>
    </xf>
    <xf numFmtId="167" fontId="27" fillId="14" borderId="38" xfId="1" applyNumberFormat="1" applyFont="1" applyFill="1" applyBorder="1" applyAlignment="1">
      <alignment horizontal="center" wrapText="1"/>
    </xf>
    <xf numFmtId="170" fontId="27" fillId="14" borderId="38" xfId="2" applyNumberFormat="1" applyFont="1" applyFill="1" applyBorder="1" applyAlignment="1">
      <alignment horizontal="center" wrapText="1"/>
    </xf>
    <xf numFmtId="173" fontId="27" fillId="14" borderId="38" xfId="2" applyNumberFormat="1" applyFont="1" applyFill="1" applyBorder="1" applyAlignment="1">
      <alignment horizontal="center" wrapText="1"/>
    </xf>
    <xf numFmtId="0" fontId="27" fillId="14" borderId="39" xfId="0" applyFont="1" applyFill="1" applyBorder="1" applyAlignment="1">
      <alignment horizontal="center" wrapText="1"/>
    </xf>
    <xf numFmtId="0" fontId="0" fillId="15" borderId="27" xfId="3" applyNumberFormat="1" applyFont="1" applyFill="1" applyBorder="1" applyAlignment="1">
      <alignment horizontal="center" wrapText="1"/>
    </xf>
    <xf numFmtId="0" fontId="0" fillId="0" borderId="35" xfId="0" applyBorder="1"/>
    <xf numFmtId="0" fontId="0" fillId="0" borderId="36" xfId="0" applyBorder="1"/>
    <xf numFmtId="167" fontId="27" fillId="14" borderId="33" xfId="1" applyNumberFormat="1" applyFont="1" applyFill="1" applyBorder="1" applyAlignment="1">
      <alignment horizontal="center" wrapText="1"/>
    </xf>
    <xf numFmtId="0" fontId="27" fillId="14" borderId="33" xfId="0" applyFont="1" applyFill="1" applyBorder="1" applyAlignment="1">
      <alignment horizontal="center" wrapText="1"/>
    </xf>
    <xf numFmtId="170" fontId="27" fillId="14" borderId="33" xfId="2" applyNumberFormat="1" applyFont="1" applyFill="1" applyBorder="1" applyAlignment="1">
      <alignment horizontal="center" wrapText="1"/>
    </xf>
    <xf numFmtId="173" fontId="27" fillId="14" borderId="33" xfId="2" applyNumberFormat="1" applyFont="1" applyFill="1" applyBorder="1" applyAlignment="1">
      <alignment horizontal="center" wrapText="1"/>
    </xf>
    <xf numFmtId="9" fontId="27" fillId="14" borderId="33" xfId="3" applyFont="1" applyFill="1" applyBorder="1" applyAlignment="1">
      <alignment horizontal="center" wrapText="1"/>
    </xf>
    <xf numFmtId="10" fontId="27" fillId="14" borderId="33" xfId="3" applyNumberFormat="1" applyFont="1" applyFill="1" applyBorder="1" applyAlignment="1">
      <alignment horizontal="center" wrapText="1"/>
    </xf>
    <xf numFmtId="0" fontId="27" fillId="14" borderId="34" xfId="0" applyFont="1" applyFill="1" applyBorder="1" applyAlignment="1">
      <alignment horizontal="center" wrapText="1"/>
    </xf>
    <xf numFmtId="0" fontId="6" fillId="10" borderId="28" xfId="0" applyFont="1" applyFill="1" applyBorder="1"/>
    <xf numFmtId="0" fontId="0" fillId="11" borderId="25" xfId="0" applyFill="1" applyBorder="1"/>
    <xf numFmtId="0" fontId="27" fillId="14" borderId="38" xfId="0" applyFont="1" applyFill="1" applyBorder="1" applyAlignment="1">
      <alignment horizontal="center" vertical="top" wrapText="1"/>
    </xf>
    <xf numFmtId="9" fontId="0" fillId="0" borderId="0" xfId="3" applyFont="1"/>
    <xf numFmtId="174" fontId="0" fillId="0" borderId="0" xfId="0" applyNumberFormat="1"/>
    <xf numFmtId="0" fontId="10" fillId="8" borderId="0" xfId="0" applyFont="1" applyFill="1" applyAlignment="1">
      <alignment horizontal="right"/>
    </xf>
    <xf numFmtId="171" fontId="0" fillId="0" borderId="0" xfId="0" applyNumberForma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8" fillId="13" borderId="30" xfId="0" applyFont="1" applyFill="1" applyBorder="1" applyAlignment="1">
      <alignment horizontal="left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25" fillId="13" borderId="30" xfId="0" applyFont="1" applyFill="1" applyBorder="1" applyAlignment="1">
      <alignment horizontal="left" vertical="center"/>
    </xf>
    <xf numFmtId="0" fontId="15" fillId="9" borderId="17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0" fillId="0" borderId="17" xfId="0" applyBorder="1"/>
    <xf numFmtId="0" fontId="16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18" fillId="0" borderId="0" xfId="0" applyFont="1"/>
    <xf numFmtId="0" fontId="0" fillId="0" borderId="0" xfId="0"/>
    <xf numFmtId="0" fontId="9" fillId="0" borderId="17" xfId="0" applyFont="1" applyBorder="1"/>
  </cellXfs>
  <cellStyles count="10">
    <cellStyle name="Calculation" xfId="7" builtinId="22"/>
    <cellStyle name="Comma" xfId="1" builtinId="3"/>
    <cellStyle name="Currency" xfId="2" builtinId="4"/>
    <cellStyle name="Good" xfId="6" builtinId="26"/>
    <cellStyle name="Heading 1" xfId="5" builtinId="16"/>
    <cellStyle name="Hyperlink" xfId="9" builtinId="8"/>
    <cellStyle name="Normal" xfId="0" builtinId="0"/>
    <cellStyle name="Percent" xfId="3" builtinId="5"/>
    <cellStyle name="Title" xfId="4" builtinId="15"/>
    <cellStyle name="Total" xfId="8" builtinId="25"/>
  </cellStyles>
  <dxfs count="43">
    <dxf>
      <fill>
        <patternFill>
          <bgColor indexed="23"/>
        </patternFill>
      </fill>
    </dxf>
    <dxf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numFmt numFmtId="171" formatCode="&quot;$&quot;#,##0.00"/>
    </dxf>
    <dxf>
      <numFmt numFmtId="14" formatCode="0.00%"/>
    </dxf>
    <dxf>
      <numFmt numFmtId="3" formatCode="#,##0"/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317929</xdr:colOff>
      <xdr:row>16</xdr:row>
      <xdr:rowOff>9524</xdr:rowOff>
    </xdr:from>
    <xdr:to>
      <xdr:col>8</xdr:col>
      <xdr:colOff>626847</xdr:colOff>
      <xdr:row>17</xdr:row>
      <xdr:rowOff>-1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E7A515A-3C42-4F73-855A-F49EFF8D830D}"/>
            </a:ext>
          </a:extLst>
        </xdr:cNvPr>
        <xdr:cNvSpPr/>
      </xdr:nvSpPr>
      <xdr:spPr>
        <a:xfrm flipH="1">
          <a:off x="16098949" y="4413884"/>
          <a:ext cx="308918" cy="18097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X</a:t>
          </a:r>
        </a:p>
      </xdr:txBody>
    </xdr:sp>
    <xdr:clientData/>
  </xdr:twoCellAnchor>
  <xdr:twoCellAnchor>
    <xdr:from>
      <xdr:col>8</xdr:col>
      <xdr:colOff>317929</xdr:colOff>
      <xdr:row>17</xdr:row>
      <xdr:rowOff>47624</xdr:rowOff>
    </xdr:from>
    <xdr:to>
      <xdr:col>8</xdr:col>
      <xdr:colOff>626847</xdr:colOff>
      <xdr:row>17</xdr:row>
      <xdr:rowOff>333375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46BA7CE-C0EC-425B-B928-B90CBFE628DF}"/>
            </a:ext>
          </a:extLst>
        </xdr:cNvPr>
        <xdr:cNvSpPr/>
      </xdr:nvSpPr>
      <xdr:spPr>
        <a:xfrm flipH="1">
          <a:off x="16098949" y="4642484"/>
          <a:ext cx="308918" cy="140971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X</a:t>
          </a:r>
        </a:p>
      </xdr:txBody>
    </xdr:sp>
    <xdr:clientData/>
  </xdr:twoCellAnchor>
  <xdr:twoCellAnchor>
    <xdr:from>
      <xdr:col>8</xdr:col>
      <xdr:colOff>317929</xdr:colOff>
      <xdr:row>18</xdr:row>
      <xdr:rowOff>0</xdr:rowOff>
    </xdr:from>
    <xdr:to>
      <xdr:col>8</xdr:col>
      <xdr:colOff>626847</xdr:colOff>
      <xdr:row>18</xdr:row>
      <xdr:rowOff>285749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FC3A650-6354-4571-9492-BD064F9DA331}"/>
            </a:ext>
          </a:extLst>
        </xdr:cNvPr>
        <xdr:cNvSpPr/>
      </xdr:nvSpPr>
      <xdr:spPr>
        <a:xfrm flipH="1">
          <a:off x="16098949" y="4785360"/>
          <a:ext cx="308918" cy="194309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=</a:t>
          </a:r>
        </a:p>
      </xdr:txBody>
    </xdr:sp>
    <xdr:clientData/>
  </xdr:twoCellAnchor>
  <xdr:twoCellAnchor>
    <xdr:from>
      <xdr:col>8</xdr:col>
      <xdr:colOff>317929</xdr:colOff>
      <xdr:row>19</xdr:row>
      <xdr:rowOff>19049</xdr:rowOff>
    </xdr:from>
    <xdr:to>
      <xdr:col>8</xdr:col>
      <xdr:colOff>626847</xdr:colOff>
      <xdr:row>20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38A7DB3-7A71-42BC-BDA0-50286C9F0514}"/>
            </a:ext>
          </a:extLst>
        </xdr:cNvPr>
        <xdr:cNvSpPr/>
      </xdr:nvSpPr>
      <xdr:spPr>
        <a:xfrm flipH="1">
          <a:off x="16098949" y="4994909"/>
          <a:ext cx="308918" cy="18097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X</a:t>
          </a:r>
        </a:p>
      </xdr:txBody>
    </xdr:sp>
    <xdr:clientData/>
  </xdr:twoCellAnchor>
  <xdr:twoCellAnchor>
    <xdr:from>
      <xdr:col>8</xdr:col>
      <xdr:colOff>317929</xdr:colOff>
      <xdr:row>20</xdr:row>
      <xdr:rowOff>28574</xdr:rowOff>
    </xdr:from>
    <xdr:to>
      <xdr:col>8</xdr:col>
      <xdr:colOff>626847</xdr:colOff>
      <xdr:row>21</xdr:row>
      <xdr:rowOff>19047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714D408-F6E9-4FD3-A9EA-1CCAD3799610}"/>
            </a:ext>
          </a:extLst>
        </xdr:cNvPr>
        <xdr:cNvSpPr/>
      </xdr:nvSpPr>
      <xdr:spPr>
        <a:xfrm flipH="1">
          <a:off x="16098949" y="5194934"/>
          <a:ext cx="308918" cy="18097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=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 Kosowski" refreshedDate="44684.494564236113" createdVersion="6" refreshedVersion="6" minRefreshableVersion="3" recordCount="4" xr:uid="{F1BEEE32-46A3-4AA5-8671-34D13A98C320}">
  <cacheSource type="worksheet">
    <worksheetSource ref="G2:N6" sheet="Devices"/>
  </cacheSource>
  <cacheFields count="8">
    <cacheField name="platform" numFmtId="0">
      <sharedItems count="2">
        <s v="Desktop"/>
        <s v="non-Desktop"/>
      </sharedItems>
    </cacheField>
    <cacheField name="test_control" numFmtId="0">
      <sharedItems count="2">
        <s v="control"/>
        <s v="test"/>
      </sharedItems>
    </cacheField>
    <cacheField name="buying_members" numFmtId="0">
      <sharedItems containsSemiMixedTypes="0" containsString="0" containsNumber="1" containsInteger="1" minValue="2408" maxValue="9134"/>
    </cacheField>
    <cacheField name="avg_demand" numFmtId="0">
      <sharedItems containsSemiMixedTypes="0" containsString="0" containsNumber="1" minValue="95.978369162342446" maxValue="113.45434170935999"/>
    </cacheField>
    <cacheField name="std_demand" numFmtId="0">
      <sharedItems containsSemiMixedTypes="0" containsString="0" containsNumber="1" minValue="69.677433051181154" maxValue="81.723014330911795"/>
    </cacheField>
    <cacheField name="AOV" numFmtId="0">
      <sharedItems containsSemiMixedTypes="0" containsString="0" containsNumber="1" minValue="95.978369162342446" maxValue="113.45434170935999"/>
    </cacheField>
    <cacheField name="AUR" numFmtId="0">
      <sharedItems containsSemiMixedTypes="0" containsString="0" containsNumber="1" minValue="55.598419753086404" maxValue="75.720382089552231"/>
    </cacheField>
    <cacheField name="UPT" numFmtId="0">
      <sharedItems containsSemiMixedTypes="0" containsString="0" containsNumber="1" minValue="1.4983329267300969" maxValue="1.7262787249814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 J Kosowski" refreshedDate="44900.642742129632" createdVersion="7" refreshedVersion="7" minRefreshableVersion="3" recordCount="14" xr:uid="{DE87C668-C661-4507-B2CF-3D9327B1FA8D}">
  <cacheSource type="worksheet">
    <worksheetSource ref="B15:K29" sheet="rebal"/>
  </cacheSource>
  <cacheFields count="10">
    <cacheField name="TEST_CONTROL" numFmtId="0">
      <sharedItems count="2">
        <s v="control"/>
        <s v="test"/>
      </sharedItems>
    </cacheField>
    <cacheField name="DEMAND_PER_BUYER_BUCKET" numFmtId="0">
      <sharedItems count="7">
        <s v="000-050"/>
        <s v="050-100"/>
        <s v="100-200"/>
        <s v="1000+"/>
        <s v="200-500"/>
        <s v="500-1000"/>
        <s v="non-buyer"/>
      </sharedItems>
    </cacheField>
    <cacheField name="TOTAL_MEMBERS" numFmtId="0">
      <sharedItems containsSemiMixedTypes="0" containsString="0" containsNumber="1" containsInteger="1" minValue="481" maxValue="105786"/>
    </cacheField>
    <cacheField name="BUYING_MEMBERS" numFmtId="0">
      <sharedItems containsSemiMixedTypes="0" containsString="0" containsNumber="1" containsInteger="1" minValue="113" maxValue="13734"/>
    </cacheField>
    <cacheField name="CONVERSION_RATE" numFmtId="0">
      <sharedItems containsSemiMixedTypes="0" containsString="0" containsNumber="1" minValue="1.126E-3" maxValue="1"/>
    </cacheField>
    <cacheField name="AVG_DEMAND" numFmtId="0">
      <sharedItems containsSemiMixedTypes="0" containsString="0" containsNumber="1" minValue="0" maxValue="1376.508856549"/>
    </cacheField>
    <cacheField name="STD_DEMAND" numFmtId="0">
      <sharedItems containsSemiMixedTypes="0" containsString="0" containsNumber="1" minValue="0" maxValue="345.18661101700002"/>
    </cacheField>
    <cacheField name="AOV" numFmtId="0">
      <sharedItems containsSemiMixedTypes="0" containsString="0" containsNumber="1" minValue="0" maxValue="182.44716450799999"/>
    </cacheField>
    <cacheField name="AUR" numFmtId="0">
      <sharedItems containsSemiMixedTypes="0" containsString="0" containsNumber="1" minValue="0" maxValue="83.357828155999997"/>
    </cacheField>
    <cacheField name="UPT" numFmtId="0">
      <sharedItems containsSemiMixedTypes="0" containsString="0" containsNumber="1" minValue="0.93442622949999998" maxValue="2.33204739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 J Kosowski" refreshedDate="44945.48592175926" createdVersion="7" refreshedVersion="7" minRefreshableVersion="3" recordCount="27" xr:uid="{79125C8A-1161-4B3B-B099-BD1B52759575}">
  <cacheSource type="worksheet">
    <worksheetSource ref="I2:S29" sheet="Age Groups"/>
  </cacheSource>
  <cacheFields count="11">
    <cacheField name="test_control" numFmtId="0">
      <sharedItems count="2">
        <s v="test"/>
        <s v="control"/>
      </sharedItems>
    </cacheField>
    <cacheField name="preferred_gender" numFmtId="0">
      <sharedItems count="3">
        <s v="U"/>
        <s v="F"/>
        <s v="M"/>
      </sharedItems>
    </cacheField>
    <cacheField name="age_group" numFmtId="0">
      <sharedItems count="5">
        <s v="24 &amp; U"/>
        <s v="25 - 34"/>
        <s v="35 - 44"/>
        <s v="45+"/>
        <s v="UNKNOWN"/>
      </sharedItems>
    </cacheField>
    <cacheField name="total_members" numFmtId="0">
      <sharedItems containsSemiMixedTypes="0" containsString="0" containsNumber="1" containsInteger="1" minValue="1" maxValue="387016"/>
    </cacheField>
    <cacheField name="buying_members" numFmtId="0">
      <sharedItems containsSemiMixedTypes="0" containsString="0" containsNumber="1" containsInteger="1" minValue="0" maxValue="15450"/>
    </cacheField>
    <cacheField name="conversion_rate" numFmtId="0">
      <sharedItems containsSemiMixedTypes="0" containsString="0" containsNumber="1" minValue="0" maxValue="5.7623882022094702E-2"/>
    </cacheField>
    <cacheField name="avg_demand" numFmtId="0">
      <sharedItems containsMixedTypes="1" containsNumber="1" minValue="120.145462004544" maxValue="150.69690809558799"/>
    </cacheField>
    <cacheField name="std_demand" numFmtId="0">
      <sharedItems containsMixedTypes="1" containsNumber="1" minValue="68.577722790484003" maxValue="103.055447331129"/>
    </cacheField>
    <cacheField name="AOV" numFmtId="0">
      <sharedItems containsMixedTypes="1" containsNumber="1" minValue="120.145462004544" maxValue="150.69690809558799"/>
    </cacheField>
    <cacheField name="AUR" numFmtId="0">
      <sharedItems containsMixedTypes="1" containsNumber="1" minValue="61.202642857142799" maxValue="103.109553410646"/>
    </cacheField>
    <cacheField name="UPT" numFmtId="0">
      <sharedItems containsMixedTypes="1" containsNumber="1" minValue="1.36921205803144" maxValue="2.24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122"/>
    <n v="95.978369162342446"/>
    <n v="81.224195159476082"/>
    <n v="95.978369162342446"/>
    <n v="55.598419753086404"/>
    <n v="1.7262787249814677"/>
  </r>
  <r>
    <x v="0"/>
    <x v="1"/>
    <n v="2408"/>
    <n v="97.495205729166642"/>
    <n v="81.723014330911795"/>
    <n v="97.495205729166642"/>
    <n v="61.073668841761815"/>
    <n v="1.5963541666666667"/>
  </r>
  <r>
    <x v="1"/>
    <x v="0"/>
    <n v="9134"/>
    <n v="112.37752011794348"/>
    <n v="72.453848806955023"/>
    <n v="112.37752011794348"/>
    <n v="69.824185114503891"/>
    <n v="1.6094354690091528"/>
  </r>
  <r>
    <x v="1"/>
    <x v="1"/>
    <n v="7412"/>
    <n v="113.45434170935999"/>
    <n v="69.677433051181154"/>
    <n v="113.45434170935999"/>
    <n v="75.720382089552231"/>
    <n v="1.49833292673009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330"/>
    <n v="3330"/>
    <n v="1"/>
    <n v="34.678143843999997"/>
    <n v="10.439912197"/>
    <n v="33.637698514"/>
    <n v="28.633329779"/>
    <n v="1.17477425"/>
  </r>
  <r>
    <x v="0"/>
    <x v="1"/>
    <n v="7467"/>
    <n v="7467"/>
    <n v="1"/>
    <n v="75.121427079"/>
    <n v="14.526162762"/>
    <n v="68.331306615000003"/>
    <n v="49.820738609000003"/>
    <n v="1.3715434280000001"/>
  </r>
  <r>
    <x v="0"/>
    <x v="2"/>
    <n v="13361"/>
    <n v="13361"/>
    <n v="1"/>
    <n v="139.40321637599999"/>
    <n v="27.817350142999999"/>
    <n v="113.536505578"/>
    <n v="74.318345463"/>
    <n v="1.5277049680000001"/>
  </r>
  <r>
    <x v="0"/>
    <x v="3"/>
    <n v="485"/>
    <n v="485"/>
    <n v="1"/>
    <n v="1373.9800247420001"/>
    <n v="345.18661101700002"/>
    <n v="168.277856566"/>
    <n v="72.448392259000002"/>
    <n v="2.3227272729999999"/>
  </r>
  <r>
    <x v="0"/>
    <x v="4"/>
    <n v="9985"/>
    <n v="9985"/>
    <n v="1"/>
    <n v="294.30176724099999"/>
    <n v="81.945999021000006"/>
    <n v="147.817059653"/>
    <n v="80.626749688999993"/>
    <n v="1.833350101"/>
  </r>
  <r>
    <x v="0"/>
    <x v="5"/>
    <n v="2166"/>
    <n v="2166"/>
    <n v="1"/>
    <n v="668.94079824599999"/>
    <n v="130.17498803399999"/>
    <n v="165.28927321500001"/>
    <n v="83.357828155999997"/>
    <n v="1.9828884330000001"/>
  </r>
  <r>
    <x v="0"/>
    <x v="6"/>
    <n v="100371"/>
    <n v="113"/>
    <n v="1.126E-3"/>
    <n v="0"/>
    <n v="0"/>
    <n v="0"/>
    <n v="0"/>
    <n v="1.0661157020000001"/>
  </r>
  <r>
    <x v="1"/>
    <x v="0"/>
    <n v="3464"/>
    <n v="3464"/>
    <n v="1"/>
    <n v="35.031056581999998"/>
    <n v="10.318811525999999"/>
    <n v="33.952876328999999"/>
    <n v="28.864790675999998"/>
    <n v="1.1762730830000001"/>
  </r>
  <r>
    <x v="1"/>
    <x v="1"/>
    <n v="7539"/>
    <n v="7539"/>
    <n v="1"/>
    <n v="75.216372065000002"/>
    <n v="14.532237844000001"/>
    <n v="68.692456571999998"/>
    <n v="50.852500135"/>
    <n v="1.3508176860000001"/>
  </r>
  <r>
    <x v="1"/>
    <x v="2"/>
    <n v="13734"/>
    <n v="13734"/>
    <n v="1"/>
    <n v="139.34371523199999"/>
    <n v="27.465567719999999"/>
    <n v="113.70367684599999"/>
    <n v="74.872714592999998"/>
    <n v="1.5186263440000001"/>
  </r>
  <r>
    <x v="1"/>
    <x v="3"/>
    <n v="481"/>
    <n v="481"/>
    <n v="1"/>
    <n v="1376.508856549"/>
    <n v="333.85966623399997"/>
    <n v="182.44716450799999"/>
    <n v="78.234758360000001"/>
    <n v="2.3320473960000001"/>
  </r>
  <r>
    <x v="1"/>
    <x v="4"/>
    <n v="10055"/>
    <n v="10055"/>
    <n v="1"/>
    <n v="294.49309557399999"/>
    <n v="81.513458599000003"/>
    <n v="148.308528298"/>
    <n v="79.797565915999996"/>
    <n v="1.8585595509999999"/>
  </r>
  <r>
    <x v="1"/>
    <x v="5"/>
    <n v="2070"/>
    <n v="2070"/>
    <n v="1"/>
    <n v="666.20976521700004"/>
    <n v="130.57326951900001"/>
    <n v="162.681870237"/>
    <n v="79.815616043999995"/>
    <n v="2.038221069"/>
  </r>
  <r>
    <x v="1"/>
    <x v="6"/>
    <n v="105786"/>
    <n v="121"/>
    <n v="1.1440000000000001E-3"/>
    <n v="0"/>
    <n v="0"/>
    <n v="0"/>
    <n v="0"/>
    <n v="0.9344262294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2060"/>
    <n v="32"/>
    <n v="1.55339805825242E-2"/>
    <n v="144.113421052631"/>
    <n v="74.186124085970405"/>
    <n v="144.113421052631"/>
    <n v="74.004189189189105"/>
    <n v="1.9473684210526301"/>
  </r>
  <r>
    <x v="0"/>
    <x v="0"/>
    <x v="1"/>
    <n v="4425"/>
    <n v="103"/>
    <n v="2.3276836158192E-2"/>
    <n v="137.09392"/>
    <n v="90.1452432135262"/>
    <n v="137.09392"/>
    <n v="61.202642857142799"/>
    <n v="2.2400000000000002"/>
  </r>
  <r>
    <x v="0"/>
    <x v="1"/>
    <x v="2"/>
    <n v="281480"/>
    <n v="12993"/>
    <n v="4.61595850504476E-2"/>
    <n v="142.918041190228"/>
    <n v="79.311556557516994"/>
    <n v="142.918041190228"/>
    <n v="84.6237541834968"/>
    <n v="1.6888643451143399"/>
  </r>
  <r>
    <x v="0"/>
    <x v="2"/>
    <x v="0"/>
    <n v="387016"/>
    <n v="9735"/>
    <n v="2.5153998801083099E-2"/>
    <n v="129.562718269481"/>
    <n v="70.411931394083496"/>
    <n v="129.562718269481"/>
    <n v="94.625750269652897"/>
    <n v="1.36921205803144"/>
  </r>
  <r>
    <x v="0"/>
    <x v="2"/>
    <x v="3"/>
    <n v="157734"/>
    <n v="7998"/>
    <n v="5.0705618319449197E-2"/>
    <n v="145.74551649928199"/>
    <n v="75.050782588568595"/>
    <n v="145.74551649928199"/>
    <n v="98.312232130512896"/>
    <n v="1.4824759171961399"/>
  </r>
  <r>
    <x v="0"/>
    <x v="0"/>
    <x v="3"/>
    <n v="4015"/>
    <n v="102"/>
    <n v="2.54047322540473E-2"/>
    <n v="136.171621621621"/>
    <n v="103.055447331129"/>
    <n v="136.171621621621"/>
    <n v="72.320813397129101"/>
    <n v="1.8828828828828801"/>
  </r>
  <r>
    <x v="0"/>
    <x v="2"/>
    <x v="2"/>
    <n v="268118"/>
    <n v="15450"/>
    <n v="5.7623882022094702E-2"/>
    <n v="149.960772748777"/>
    <n v="72.699849827909205"/>
    <n v="149.960772748777"/>
    <n v="102.56728076798601"/>
    <n v="1.4620722283551399"/>
  </r>
  <r>
    <x v="0"/>
    <x v="1"/>
    <x v="0"/>
    <n v="366980"/>
    <n v="7054"/>
    <n v="1.9221755954002901E-2"/>
    <n v="120.912997247935"/>
    <n v="68.577722790484003"/>
    <n v="120.912997247935"/>
    <n v="83.010863964273398"/>
    <n v="1.4565924443332401"/>
  </r>
  <r>
    <x v="0"/>
    <x v="2"/>
    <x v="1"/>
    <n v="318658"/>
    <n v="14443"/>
    <n v="4.5324454430768997E-2"/>
    <n v="145.000761296109"/>
    <n v="70.250828535078298"/>
    <n v="145.000761296109"/>
    <n v="102.803003974562"/>
    <n v="1.4104720260118799"/>
  </r>
  <r>
    <x v="0"/>
    <x v="1"/>
    <x v="3"/>
    <n v="177635"/>
    <n v="6531"/>
    <n v="3.6766403017423302E-2"/>
    <n v="138.18710124101901"/>
    <n v="81.973601906874194"/>
    <n v="138.18710124101901"/>
    <n v="81.370943076923098"/>
    <n v="1.6982364467668101"/>
  </r>
  <r>
    <x v="0"/>
    <x v="0"/>
    <x v="2"/>
    <n v="5192"/>
    <n v="139"/>
    <n v="2.6771956856702601E-2"/>
    <n v="144.136282051282"/>
    <n v="98.583279097931097"/>
    <n v="144.136282051282"/>
    <n v="77.803667820069194"/>
    <n v="1.8525641025641"/>
  </r>
  <r>
    <x v="0"/>
    <x v="1"/>
    <x v="1"/>
    <n v="330592"/>
    <n v="12164"/>
    <n v="3.6794598780369697E-2"/>
    <n v="138.78069120909501"/>
    <n v="75.663535829666799"/>
    <n v="138.78069120909501"/>
    <n v="87.451843162953196"/>
    <n v="1.58693843594009"/>
  </r>
  <r>
    <x v="0"/>
    <x v="2"/>
    <x v="4"/>
    <n v="1"/>
    <n v="0"/>
    <n v="0"/>
    <s v="null"/>
    <s v="null"/>
    <s v="null"/>
    <s v="null"/>
    <s v="null"/>
  </r>
  <r>
    <x v="1"/>
    <x v="2"/>
    <x v="2"/>
    <n v="267568"/>
    <n v="15285"/>
    <n v="5.7125665251449999E-2"/>
    <n v="150.69690809558799"/>
    <n v="72.413625311951407"/>
    <n v="150.69690809558799"/>
    <n v="103.109553410646"/>
    <n v="1.46152226550163"/>
  </r>
  <r>
    <x v="1"/>
    <x v="1"/>
    <x v="3"/>
    <n v="177675"/>
    <n v="6633"/>
    <n v="3.7332207682566398E-2"/>
    <n v="136.76912649834199"/>
    <n v="80.269952055384096"/>
    <n v="136.76912649834199"/>
    <n v="81.136507300098401"/>
    <n v="1.68566692170364"/>
  </r>
  <r>
    <x v="1"/>
    <x v="2"/>
    <x v="1"/>
    <n v="319042"/>
    <n v="14592"/>
    <n v="4.5736924918976102E-2"/>
    <n v="145.76984277430799"/>
    <n v="71.089165678805401"/>
    <n v="145.76984277430799"/>
    <n v="102.23382732462601"/>
    <n v="1.4258474576271101"/>
  </r>
  <r>
    <x v="1"/>
    <x v="1"/>
    <x v="1"/>
    <n v="331352"/>
    <n v="12735"/>
    <n v="3.84334484173929E-2"/>
    <n v="136.10541362368801"/>
    <n v="73.460663498407399"/>
    <n v="136.10541362368801"/>
    <n v="87.171822086150399"/>
    <n v="1.5613464347364201"/>
  </r>
  <r>
    <x v="1"/>
    <x v="2"/>
    <x v="0"/>
    <n v="385998"/>
    <n v="9455"/>
    <n v="2.44949455696661E-2"/>
    <n v="129.51637698022"/>
    <n v="70.198685880890096"/>
    <n v="129.51637698022"/>
    <n v="94.383412470649603"/>
    <n v="1.3722366419045899"/>
  </r>
  <r>
    <x v="1"/>
    <x v="0"/>
    <x v="2"/>
    <n v="5218"/>
    <n v="157"/>
    <n v="3.0088156381755399E-2"/>
    <n v="130.055344827586"/>
    <n v="79.843973568443602"/>
    <n v="130.055344827586"/>
    <n v="72.764083601286103"/>
    <n v="1.78735632183908"/>
  </r>
  <r>
    <x v="1"/>
    <x v="0"/>
    <x v="1"/>
    <n v="4425"/>
    <n v="106"/>
    <n v="2.3954802259887002E-2"/>
    <n v="129.68325203251999"/>
    <n v="80.404684406964094"/>
    <n v="129.68325203251999"/>
    <n v="64.318709677419307"/>
    <n v="2.0162601626016201"/>
  </r>
  <r>
    <x v="1"/>
    <x v="1"/>
    <x v="0"/>
    <n v="366964"/>
    <n v="6982"/>
    <n v="1.9026389509597601E-2"/>
    <n v="120.145462004544"/>
    <n v="69.012046257814205"/>
    <n v="120.145462004544"/>
    <n v="82.377734983555399"/>
    <n v="1.4584700833122901"/>
  </r>
  <r>
    <x v="1"/>
    <x v="1"/>
    <x v="2"/>
    <n v="281599"/>
    <n v="13234"/>
    <n v="4.6995905525232598E-2"/>
    <n v="143.23047338792199"/>
    <n v="79.819803085704194"/>
    <n v="143.23047338792199"/>
    <n v="85.405048825144902"/>
    <n v="1.6770726714431901"/>
  </r>
  <r>
    <x v="1"/>
    <x v="2"/>
    <x v="3"/>
    <n v="158101"/>
    <n v="7826"/>
    <n v="4.9500003162535298E-2"/>
    <n v="145.702396375755"/>
    <n v="75.221516843422705"/>
    <n v="145.702396375755"/>
    <n v="97.351221905225799"/>
    <n v="1.49666736096646"/>
  </r>
  <r>
    <x v="1"/>
    <x v="2"/>
    <x v="4"/>
    <n v="1"/>
    <n v="0"/>
    <n v="0"/>
    <s v="null"/>
    <s v="null"/>
    <s v="null"/>
    <s v="null"/>
    <s v="null"/>
  </r>
  <r>
    <x v="1"/>
    <x v="0"/>
    <x v="0"/>
    <n v="2069"/>
    <n v="35"/>
    <n v="1.69163847269212E-2"/>
    <n v="139.34"/>
    <n v="96.568992608048504"/>
    <n v="139.34"/>
    <n v="68.809876543209796"/>
    <n v="2.0249999999999999"/>
  </r>
  <r>
    <x v="1"/>
    <x v="0"/>
    <x v="3"/>
    <n v="3998"/>
    <n v="99"/>
    <n v="2.4762381190595199E-2"/>
    <n v="139.28576576576501"/>
    <n v="82.262897475102207"/>
    <n v="139.28576576576501"/>
    <n v="64.152365145228103"/>
    <n v="2.1711711711711699"/>
  </r>
  <r>
    <x v="1"/>
    <x v="1"/>
    <x v="4"/>
    <n v="1"/>
    <n v="0"/>
    <n v="0"/>
    <s v="null"/>
    <s v="null"/>
    <s v="null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5270-15A4-4532-82F2-1B16A9220A14}" name="PivotTable1" cacheId="4" dataPosition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B2:F12" firstHeaderRow="1" firstDataRow="3" firstDataCol="1"/>
  <pivotFields count="10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0"/>
  </colFields>
  <colItems count="4">
    <i>
      <x/>
      <x/>
    </i>
    <i r="1">
      <x v="1"/>
    </i>
    <i i="1">
      <x v="1"/>
      <x/>
    </i>
    <i r="1" i="1">
      <x v="1"/>
    </i>
  </colItems>
  <dataFields count="2">
    <dataField name="Sum of TOTAL_MEMBERS" fld="2" baseField="0" baseItem="0"/>
    <dataField name="Sum of TOTAL_MEMBERS2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EA8C5-E789-4EFE-BBE6-D67D68EE05C9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rowHeaderCaption="Age Group">
  <location ref="B4:E18" firstHeaderRow="0" firstDataRow="1" firstDataCol="1" rowPageCount="1" colPageCount="1"/>
  <pivotFields count="11">
    <pivotField axis="axisRow" showAll="0" sortType="descending">
      <items count="3">
        <item x="0"/>
        <item x="1"/>
        <item t="default"/>
      </items>
    </pivotField>
    <pivotField name="Gender" axis="axisPage" multipleItemSelectionAllowed="1" showAll="0">
      <items count="4">
        <item x="1"/>
        <item h="1" x="2"/>
        <item h="1" x="0"/>
        <item t="default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0"/>
  </rowFields>
  <rowItems count="1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Members" fld="3" baseField="1" baseItem="0" numFmtId="3"/>
    <dataField name="Conversion Rate" fld="5" baseField="1" baseItem="0" numFmtId="10"/>
    <dataField name="Demand" fld="6" baseField="1" baseItem="0" numFmtId="171"/>
  </dataFields>
  <formats count="6">
    <format dxfId="26">
      <pivotArea collapsedLevelsAreSubtotals="1" fieldPosition="0">
        <references count="2">
          <reference field="0" count="1">
            <x v="1"/>
          </reference>
          <reference field="2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6">
    <conditionalFormat priority="1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B9FFD-05D6-483E-953A-33F89B6BD0D8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2:D8" firstHeaderRow="0" firstDataRow="1" firstDataCol="1"/>
  <pivotFields count="8">
    <pivotField axis="axisRow" showAll="0" defaultSubtotal="0">
      <items count="2">
        <item x="0"/>
        <item x="1"/>
      </items>
    </pivotField>
    <pivotField axis="axisRow" showAll="0" sortType="descending" defaultSubtotal="0">
      <items count="2">
        <item x="1"/>
        <item x="0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pct of Buyers" fld="2" showDataAs="percentOfTotal" baseField="0" baseItem="0" numFmtId="10"/>
    <dataField name="avg Demand" fld="3" baseField="0" baseItem="0" numFmtId="171"/>
  </dataFields>
  <formats count="2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E401-EE5E-4740-B6E2-6C8E653A4DA7}">
  <dimension ref="A2:M29"/>
  <sheetViews>
    <sheetView zoomScaleNormal="100" workbookViewId="0">
      <selection activeCell="B15" sqref="B15"/>
    </sheetView>
  </sheetViews>
  <sheetFormatPr baseColWidth="10" defaultColWidth="8.83203125" defaultRowHeight="15" x14ac:dyDescent="0.2"/>
  <cols>
    <col min="1" max="1" width="12.33203125" style="129" bestFit="1" customWidth="1"/>
    <col min="2" max="2" width="12.5" bestFit="1" customWidth="1"/>
    <col min="3" max="3" width="23" bestFit="1" customWidth="1"/>
    <col min="4" max="4" width="7" bestFit="1" customWidth="1"/>
    <col min="5" max="5" width="24" bestFit="1" customWidth="1"/>
    <col min="6" max="6" width="8" bestFit="1" customWidth="1"/>
    <col min="7" max="7" width="15.83203125" bestFit="1" customWidth="1"/>
    <col min="8" max="8" width="15.33203125" style="128" bestFit="1" customWidth="1"/>
    <col min="9" max="9" width="12.1640625" style="128" bestFit="1" customWidth="1"/>
    <col min="10" max="11" width="12.1640625" bestFit="1" customWidth="1"/>
    <col min="13" max="13" width="88.83203125" bestFit="1" customWidth="1"/>
  </cols>
  <sheetData>
    <row r="2" spans="1:13" x14ac:dyDescent="0.2">
      <c r="A2" s="262" t="s">
        <v>0</v>
      </c>
      <c r="C2" s="229" t="s">
        <v>1</v>
      </c>
    </row>
    <row r="3" spans="1:13" x14ac:dyDescent="0.2">
      <c r="C3" t="s">
        <v>2</v>
      </c>
      <c r="E3" t="s">
        <v>3</v>
      </c>
    </row>
    <row r="4" spans="1:13" x14ac:dyDescent="0.2">
      <c r="B4" s="229" t="s">
        <v>4</v>
      </c>
      <c r="C4" t="s">
        <v>5</v>
      </c>
      <c r="D4" t="s">
        <v>6</v>
      </c>
      <c r="E4" t="s">
        <v>5</v>
      </c>
      <c r="F4" t="s">
        <v>6</v>
      </c>
      <c r="G4" s="129" t="s">
        <v>7</v>
      </c>
      <c r="H4" s="130" t="s">
        <v>8</v>
      </c>
      <c r="I4" s="130" t="s">
        <v>9</v>
      </c>
      <c r="M4" s="262" t="s">
        <v>261</v>
      </c>
    </row>
    <row r="5" spans="1:13" x14ac:dyDescent="0.2">
      <c r="B5" s="131" t="s">
        <v>10</v>
      </c>
      <c r="C5">
        <v>3330</v>
      </c>
      <c r="D5">
        <v>3464</v>
      </c>
      <c r="E5" s="132">
        <v>2.4277330222724457E-2</v>
      </c>
      <c r="F5" s="132">
        <v>2.4201943701136736E-2</v>
      </c>
      <c r="G5" s="132">
        <f>F5-E5</f>
        <v>-7.5386521587721134E-5</v>
      </c>
      <c r="H5" s="128">
        <f t="shared" ref="H5:H10" si="0">ROUND(C$12*F5/C5,5)</f>
        <v>0.99689000000000005</v>
      </c>
      <c r="I5" s="128">
        <f t="shared" ref="I5:I11" si="1">ROUND(D$12*E5/D5,5)</f>
        <v>1.0031099999999999</v>
      </c>
      <c r="M5" t="str">
        <f>_xlfn.CONCAT("AND ((test_control = 'control' and (demand &gt; 0 and demand &lt;= 50) and PERCENT_RANK &lt;= ",IF($H5&lt;1,$H5,1),")")</f>
        <v>AND ((test_control = 'control' and (demand &gt; 0 and demand &lt;= 50) and PERCENT_RANK &lt;= 0.99689)</v>
      </c>
    </row>
    <row r="6" spans="1:13" x14ac:dyDescent="0.2">
      <c r="B6" s="131" t="s">
        <v>11</v>
      </c>
      <c r="C6">
        <v>7467</v>
      </c>
      <c r="D6">
        <v>7539</v>
      </c>
      <c r="E6" s="132">
        <v>5.4438085517442496E-2</v>
      </c>
      <c r="F6" s="132">
        <v>5.2672763730620631E-2</v>
      </c>
      <c r="G6" s="132">
        <f t="shared" ref="G6:G11" si="2">F6-E6</f>
        <v>-1.7653217868218649E-3</v>
      </c>
      <c r="H6" s="128">
        <f t="shared" si="0"/>
        <v>0.96757000000000004</v>
      </c>
      <c r="I6" s="128">
        <f t="shared" si="1"/>
        <v>1.0335099999999999</v>
      </c>
      <c r="M6" t="str">
        <f>_xlfn.CONCAT("OR (test_control = 'control' and (demand &gt; 50 and demand &lt;= 100) and PERCENT_RANK &lt;= ",IF($H6&lt;1,$H6,1),")")</f>
        <v>OR (test_control = 'control' and (demand &gt; 50 and demand &lt;= 100) and PERCENT_RANK &lt;= 0.96757)</v>
      </c>
    </row>
    <row r="7" spans="1:13" x14ac:dyDescent="0.2">
      <c r="B7" s="131" t="s">
        <v>12</v>
      </c>
      <c r="C7">
        <v>13361</v>
      </c>
      <c r="D7">
        <v>13734</v>
      </c>
      <c r="E7" s="132">
        <v>9.7408230962709147E-2</v>
      </c>
      <c r="F7" s="132">
        <v>9.5955396879737864E-2</v>
      </c>
      <c r="G7" s="132">
        <f t="shared" si="2"/>
        <v>-1.4528340829712827E-3</v>
      </c>
      <c r="H7" s="128">
        <f t="shared" si="0"/>
        <v>0.98509000000000002</v>
      </c>
      <c r="I7" s="128">
        <f t="shared" si="1"/>
        <v>1.0151399999999999</v>
      </c>
      <c r="M7" t="str">
        <f>_xlfn.CONCAT("OR (test_control = 'control' and (demand &gt; 100 and demand &lt;= 200) and PERCENT_RANK &lt;= ",IF($H7&lt;1,$H7,1),")")</f>
        <v>OR (test_control = 'control' and (demand &gt; 100 and demand &lt;= 200) and PERCENT_RANK &lt;= 0.98509)</v>
      </c>
    </row>
    <row r="8" spans="1:13" x14ac:dyDescent="0.2">
      <c r="B8" s="131" t="s">
        <v>13</v>
      </c>
      <c r="C8">
        <v>9985</v>
      </c>
      <c r="D8">
        <v>10055</v>
      </c>
      <c r="E8" s="132">
        <v>7.2795538220391504E-2</v>
      </c>
      <c r="F8" s="132">
        <v>7.0251311753732643E-2</v>
      </c>
      <c r="G8" s="132">
        <f t="shared" si="2"/>
        <v>-2.544226466658861E-3</v>
      </c>
      <c r="H8" s="128">
        <f t="shared" si="0"/>
        <v>0.96504999999999996</v>
      </c>
      <c r="I8" s="128">
        <f t="shared" si="1"/>
        <v>1.0362199999999999</v>
      </c>
      <c r="M8" t="str">
        <f>_xlfn.CONCAT("OR (test_control = 'control' and (demand &gt; 200 and demand &lt;= 500) and PERCENT_RANK &lt;= ",IF($H8&lt;1,$H8,1),")")</f>
        <v>OR (test_control = 'control' and (demand &gt; 200 and demand &lt;= 500) and PERCENT_RANK &lt;= 0.96505)</v>
      </c>
    </row>
    <row r="9" spans="1:13" x14ac:dyDescent="0.2">
      <c r="B9" s="131" t="s">
        <v>14</v>
      </c>
      <c r="C9">
        <v>2166</v>
      </c>
      <c r="D9">
        <v>2070</v>
      </c>
      <c r="E9" s="132">
        <v>1.5791200379105457E-2</v>
      </c>
      <c r="F9" s="132">
        <v>1.4462477904547646E-2</v>
      </c>
      <c r="G9" s="132">
        <f t="shared" si="2"/>
        <v>-1.3287224745578106E-3</v>
      </c>
      <c r="H9" s="128">
        <f t="shared" si="0"/>
        <v>0.91586000000000001</v>
      </c>
      <c r="I9" s="128">
        <f t="shared" si="1"/>
        <v>1.0918699999999999</v>
      </c>
      <c r="M9" t="str">
        <f>_xlfn.CONCAT("OR (test_control = 'control' and (demand &gt; 500 and demand &lt;= 1000) and PERCENT_RANK &lt;= ",IF($H9&lt;1,$H9,1),")")</f>
        <v>OR (test_control = 'control' and (demand &gt; 500 and demand &lt;= 1000) and PERCENT_RANK &lt;= 0.91586)</v>
      </c>
    </row>
    <row r="10" spans="1:13" x14ac:dyDescent="0.2">
      <c r="B10" s="131" t="s">
        <v>15</v>
      </c>
      <c r="C10">
        <v>485</v>
      </c>
      <c r="D10">
        <v>481</v>
      </c>
      <c r="E10" s="132">
        <v>3.5358874348412495E-3</v>
      </c>
      <c r="F10" s="132">
        <v>3.3606047691243563E-3</v>
      </c>
      <c r="G10" s="132">
        <f t="shared" si="2"/>
        <v>-1.752826657168932E-4</v>
      </c>
      <c r="H10" s="128">
        <f t="shared" si="0"/>
        <v>0.95043</v>
      </c>
      <c r="I10" s="128">
        <f t="shared" si="1"/>
        <v>1.05216</v>
      </c>
      <c r="M10" t="str">
        <f>_xlfn.CONCAT("OR (test_control = 'control' and (demand &gt; 1000) and PERCENT_RANK &lt;= ",IF($H10&lt;1,$H10,1),")")</f>
        <v>OR (test_control = 'control' and (demand &gt; 1000) and PERCENT_RANK &lt;= 0.95043)</v>
      </c>
    </row>
    <row r="11" spans="1:13" x14ac:dyDescent="0.2">
      <c r="B11" s="131" t="s">
        <v>16</v>
      </c>
      <c r="C11">
        <v>100371</v>
      </c>
      <c r="D11">
        <v>105786</v>
      </c>
      <c r="E11" s="132">
        <v>0.73175372726278565</v>
      </c>
      <c r="F11" s="132">
        <v>0.73909550126110013</v>
      </c>
      <c r="G11" s="132">
        <f t="shared" si="2"/>
        <v>7.3417739983144825E-3</v>
      </c>
      <c r="H11" s="128">
        <f>ROUND(C12*F11/C11,5)</f>
        <v>1.01003</v>
      </c>
      <c r="I11" s="128">
        <f t="shared" si="1"/>
        <v>0.99007000000000001</v>
      </c>
      <c r="M11" t="str">
        <f>_xlfn.CONCAT("OR (test_control = 'control' and (demand = 0 or demand is null) and PERCENT_RANK &lt;= ",IF($H11&lt;1,$H11,1),")")</f>
        <v>OR (test_control = 'control' and (demand = 0 or demand is null) and PERCENT_RANK &lt;= 1)</v>
      </c>
    </row>
    <row r="12" spans="1:13" x14ac:dyDescent="0.2">
      <c r="B12" s="131" t="s">
        <v>17</v>
      </c>
      <c r="C12">
        <v>137165</v>
      </c>
      <c r="D12">
        <v>143129</v>
      </c>
      <c r="E12" s="132">
        <v>1</v>
      </c>
      <c r="F12" s="132">
        <v>1</v>
      </c>
      <c r="M12" t="str">
        <f>_xlfn.CONCAT("OR (test_control = 'test' and (demand &gt;0 and demand &lt;= 50) and PERCENT_RANK &lt;= ",IF($I5&lt;1,$I5,1),")")</f>
        <v>OR (test_control = 'test' and (demand &gt;0 and demand &lt;= 50) and PERCENT_RANK &lt;= 1)</v>
      </c>
    </row>
    <row r="13" spans="1:13" x14ac:dyDescent="0.2">
      <c r="M13" t="str">
        <f>_xlfn.CONCAT("OR (test_control = 'test' and (demand &gt; 50 and demand &lt;= 100) and PERCENT_RANK &lt;= ",IF($I6&lt;1,$I6,1),")")</f>
        <v>OR (test_control = 'test' and (demand &gt; 50 and demand &lt;= 100) and PERCENT_RANK &lt;= 1)</v>
      </c>
    </row>
    <row r="14" spans="1:13" x14ac:dyDescent="0.2">
      <c r="B14" s="126" t="s">
        <v>18</v>
      </c>
      <c r="C14" s="126" t="s">
        <v>19</v>
      </c>
      <c r="D14" s="126" t="s">
        <v>20</v>
      </c>
      <c r="E14" s="126" t="s">
        <v>21</v>
      </c>
      <c r="F14" s="126" t="s">
        <v>22</v>
      </c>
      <c r="G14" s="126" t="s">
        <v>23</v>
      </c>
      <c r="H14" s="261" t="s">
        <v>24</v>
      </c>
      <c r="I14" s="261" t="s">
        <v>25</v>
      </c>
      <c r="J14" s="126" t="s">
        <v>26</v>
      </c>
      <c r="K14" s="126" t="s">
        <v>27</v>
      </c>
      <c r="M14" t="str">
        <f>_xlfn.CONCAT("OR (test_control = 'test' and (demand &gt; 100 and demand &lt;= 200) and PERCENT_RANK &lt;= ",IF($I7&lt;1,$I7,1),")")</f>
        <v>OR (test_control = 'test' and (demand &gt; 100 and demand &lt;= 200) and PERCENT_RANK &lt;= 1)</v>
      </c>
    </row>
    <row r="15" spans="1:13" x14ac:dyDescent="0.2">
      <c r="A15" s="262" t="s">
        <v>28</v>
      </c>
      <c r="B15" s="268"/>
      <c r="C15" s="269"/>
      <c r="D15" s="269"/>
      <c r="E15" s="269"/>
      <c r="F15" s="269"/>
      <c r="G15" s="269"/>
      <c r="H15" s="270"/>
      <c r="I15" s="270"/>
      <c r="J15" s="269"/>
      <c r="K15" s="271"/>
      <c r="M15" t="str">
        <f>_xlfn.CONCAT("OR (test_control = 'test' and (demand &gt; 200 and demand &lt;= 500) and PERCENT_RANK &lt;= ",IF($I8&lt;1,$I8,1),")")</f>
        <v>OR (test_control = 'test' and (demand &gt; 200 and demand &lt;= 500) and PERCENT_RANK &lt;= 1)</v>
      </c>
    </row>
    <row r="16" spans="1:13" x14ac:dyDescent="0.2">
      <c r="B16" s="252"/>
      <c r="C16" s="230"/>
      <c r="D16" s="230"/>
      <c r="E16" s="230"/>
      <c r="F16" s="230"/>
      <c r="G16" s="230"/>
      <c r="H16" s="230"/>
      <c r="I16" s="230"/>
      <c r="J16" s="230"/>
      <c r="K16" s="231"/>
      <c r="M16" t="str">
        <f>_xlfn.CONCAT("OR (test_control = 'test' and (demand &gt; 500 and demand &lt;= 1000) and PERCENT_RANK &lt;= ",IF($I9&lt;1,$I9,1),")")</f>
        <v>OR (test_control = 'test' and (demand &gt; 500 and demand &lt;= 1000) and PERCENT_RANK &lt;= 1)</v>
      </c>
    </row>
    <row r="17" spans="2:13" x14ac:dyDescent="0.2">
      <c r="B17" s="251"/>
      <c r="C17" s="232"/>
      <c r="D17" s="232"/>
      <c r="E17" s="232"/>
      <c r="F17" s="232"/>
      <c r="G17" s="232"/>
      <c r="H17" s="232"/>
      <c r="I17" s="232"/>
      <c r="J17" s="232"/>
      <c r="K17" s="233"/>
      <c r="M17" t="str">
        <f>_xlfn.CONCAT("OR (test_control = 'test' and (demand &gt; 1000) and PERCENT_RANK &lt;= ",IF($I10&lt;1,$I10,1),")")</f>
        <v>OR (test_control = 'test' and (demand &gt; 1000) and PERCENT_RANK &lt;= 1)</v>
      </c>
    </row>
    <row r="18" spans="2:13" x14ac:dyDescent="0.2">
      <c r="B18" s="252"/>
      <c r="C18" s="230"/>
      <c r="D18" s="230"/>
      <c r="E18" s="230"/>
      <c r="F18" s="230"/>
      <c r="G18" s="230"/>
      <c r="H18" s="230"/>
      <c r="I18" s="230"/>
      <c r="J18" s="230"/>
      <c r="K18" s="231"/>
      <c r="M18" t="str">
        <f>_xlfn.CONCAT("OR (test_control = 'test' and (demand = 0 or demand is null) and PERCENT_RANK &lt;= ",IF($I11&lt;1,$I11,1),")")</f>
        <v>OR (test_control = 'test' and (demand = 0 or demand is null) and PERCENT_RANK &lt;= 0.99007)</v>
      </c>
    </row>
    <row r="19" spans="2:13" x14ac:dyDescent="0.2">
      <c r="B19" s="251"/>
      <c r="C19" s="232"/>
      <c r="D19" s="232"/>
      <c r="E19" s="232"/>
      <c r="F19" s="232"/>
      <c r="G19" s="232"/>
      <c r="H19" s="232"/>
      <c r="I19" s="232"/>
      <c r="J19" s="232"/>
      <c r="K19" s="233"/>
    </row>
    <row r="20" spans="2:13" x14ac:dyDescent="0.2">
      <c r="B20" s="252"/>
      <c r="C20" s="230"/>
      <c r="D20" s="230"/>
      <c r="E20" s="230"/>
      <c r="F20" s="230"/>
      <c r="G20" s="230"/>
      <c r="H20" s="230"/>
      <c r="I20" s="230"/>
      <c r="J20" s="230"/>
      <c r="K20" s="231"/>
    </row>
    <row r="21" spans="2:13" x14ac:dyDescent="0.2">
      <c r="B21" s="251"/>
      <c r="C21" s="232"/>
      <c r="D21" s="232"/>
      <c r="E21" s="232"/>
      <c r="F21" s="232"/>
      <c r="G21" s="232"/>
      <c r="H21" s="232"/>
      <c r="I21" s="232"/>
      <c r="J21" s="232"/>
      <c r="K21" s="233"/>
    </row>
    <row r="22" spans="2:13" x14ac:dyDescent="0.2">
      <c r="B22" s="252"/>
      <c r="C22" s="230"/>
      <c r="D22" s="230"/>
      <c r="E22" s="230"/>
      <c r="F22" s="230"/>
      <c r="G22" s="230"/>
      <c r="H22" s="230"/>
      <c r="I22" s="230"/>
      <c r="J22" s="230"/>
      <c r="K22" s="231"/>
    </row>
    <row r="23" spans="2:13" x14ac:dyDescent="0.2">
      <c r="B23" s="251"/>
      <c r="C23" s="232"/>
      <c r="D23" s="232"/>
      <c r="E23" s="232"/>
      <c r="F23" s="232"/>
      <c r="G23" s="232"/>
      <c r="H23" s="232"/>
      <c r="I23" s="232"/>
      <c r="J23" s="232"/>
      <c r="K23" s="233"/>
    </row>
    <row r="24" spans="2:13" x14ac:dyDescent="0.2">
      <c r="B24" s="252"/>
      <c r="C24" s="230"/>
      <c r="D24" s="230"/>
      <c r="E24" s="230"/>
      <c r="F24" s="230"/>
      <c r="G24" s="230"/>
      <c r="H24" s="230"/>
      <c r="I24" s="230"/>
      <c r="J24" s="230"/>
      <c r="K24" s="231"/>
    </row>
    <row r="25" spans="2:13" x14ac:dyDescent="0.2">
      <c r="B25" s="251"/>
      <c r="C25" s="232"/>
      <c r="D25" s="232"/>
      <c r="E25" s="232"/>
      <c r="F25" s="232"/>
      <c r="G25" s="232"/>
      <c r="H25" s="232"/>
      <c r="I25" s="232"/>
      <c r="J25" s="232"/>
      <c r="K25" s="233"/>
    </row>
    <row r="26" spans="2:13" x14ac:dyDescent="0.2">
      <c r="B26" s="252"/>
      <c r="C26" s="230"/>
      <c r="D26" s="230"/>
      <c r="E26" s="230"/>
      <c r="F26" s="230"/>
      <c r="G26" s="230"/>
      <c r="H26" s="230"/>
      <c r="I26" s="230"/>
      <c r="J26" s="230"/>
      <c r="K26" s="231"/>
    </row>
    <row r="27" spans="2:13" x14ac:dyDescent="0.2">
      <c r="B27" s="251"/>
      <c r="C27" s="232"/>
      <c r="D27" s="232"/>
      <c r="E27" s="232"/>
      <c r="F27" s="232"/>
      <c r="G27" s="232"/>
      <c r="H27" s="232"/>
      <c r="I27" s="232"/>
      <c r="J27" s="232"/>
      <c r="K27" s="233"/>
    </row>
    <row r="28" spans="2:13" x14ac:dyDescent="0.2">
      <c r="B28" s="252"/>
      <c r="C28" s="230"/>
      <c r="D28" s="230"/>
      <c r="E28" s="230"/>
      <c r="F28" s="230"/>
      <c r="G28" s="230"/>
      <c r="H28" s="230"/>
      <c r="I28" s="230"/>
      <c r="J28" s="230"/>
      <c r="K28" s="231"/>
    </row>
    <row r="29" spans="2:13" x14ac:dyDescent="0.2">
      <c r="B29" s="225"/>
      <c r="C29" s="134"/>
      <c r="D29" s="134"/>
      <c r="E29" s="134"/>
      <c r="F29" s="134"/>
      <c r="G29" s="134"/>
      <c r="H29" s="134"/>
      <c r="I29" s="134"/>
      <c r="J29" s="134"/>
      <c r="K29" s="135"/>
    </row>
  </sheetData>
  <conditionalFormatting sqref="G5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11">
    <cfRule type="cellIs" dxfId="14" priority="1" operator="lessThan">
      <formula>1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DED4-ED4B-453A-8707-CFA3113984D7}">
  <sheetPr>
    <tabColor theme="6" tint="0.79998168889431442"/>
  </sheetPr>
  <dimension ref="B2:AL51"/>
  <sheetViews>
    <sheetView showGridLines="0" zoomScale="80" zoomScaleNormal="80" workbookViewId="0">
      <selection activeCell="C16" sqref="C16:G27"/>
    </sheetView>
  </sheetViews>
  <sheetFormatPr baseColWidth="10" defaultColWidth="8.83203125" defaultRowHeight="15" x14ac:dyDescent="0.2"/>
  <cols>
    <col min="1" max="1" width="3.83203125" customWidth="1"/>
    <col min="2" max="2" width="29.1640625" style="136" customWidth="1"/>
    <col min="3" max="3" width="45.83203125" style="136" customWidth="1"/>
    <col min="4" max="5" width="12.83203125" style="133" customWidth="1"/>
    <col min="6" max="6" width="17.5" style="133" customWidth="1"/>
    <col min="7" max="7" width="12.83203125" style="133" customWidth="1"/>
    <col min="8" max="8" width="18.1640625" style="136" bestFit="1" customWidth="1"/>
    <col min="9" max="11" width="12.5" style="136" bestFit="1" customWidth="1"/>
    <col min="12" max="12" width="12" bestFit="1" customWidth="1"/>
    <col min="13" max="13" width="12.1640625" customWidth="1"/>
    <col min="14" max="14" width="10.5" bestFit="1" customWidth="1"/>
    <col min="15" max="15" width="9.5" bestFit="1" customWidth="1"/>
    <col min="16" max="16" width="8.5" bestFit="1" customWidth="1"/>
    <col min="17" max="17" width="9.5" bestFit="1" customWidth="1"/>
  </cols>
  <sheetData>
    <row r="2" spans="2:14" ht="21" thickBot="1" x14ac:dyDescent="0.3">
      <c r="B2" s="139" t="s">
        <v>29</v>
      </c>
      <c r="C2" s="140"/>
      <c r="D2" s="141"/>
      <c r="E2" s="141"/>
      <c r="F2" s="141"/>
      <c r="G2" s="141"/>
      <c r="H2" s="139"/>
      <c r="I2" s="139"/>
      <c r="J2" s="139"/>
      <c r="K2" s="139"/>
      <c r="L2" s="142"/>
      <c r="M2" s="142"/>
    </row>
    <row r="3" spans="2:14" ht="25" thickTop="1" x14ac:dyDescent="0.2">
      <c r="B3" s="143" t="s">
        <v>30</v>
      </c>
      <c r="C3" s="144" t="s">
        <v>31</v>
      </c>
    </row>
    <row r="5" spans="2:14" ht="24" x14ac:dyDescent="0.3">
      <c r="B5" s="143" t="s">
        <v>32</v>
      </c>
      <c r="C5" s="145" t="s">
        <v>33</v>
      </c>
      <c r="D5" s="146"/>
      <c r="E5" s="146"/>
      <c r="F5" s="146"/>
      <c r="G5" s="146"/>
      <c r="H5" s="145"/>
      <c r="I5" s="145"/>
      <c r="J5" s="145"/>
      <c r="K5" s="145"/>
      <c r="L5" s="147"/>
      <c r="M5" s="147"/>
    </row>
    <row r="6" spans="2:14" ht="30" customHeight="1" x14ac:dyDescent="0.2">
      <c r="C6" s="294" t="s">
        <v>34</v>
      </c>
      <c r="D6" s="295"/>
      <c r="E6" s="295"/>
      <c r="F6" s="295"/>
      <c r="G6" s="295"/>
      <c r="H6" s="295"/>
      <c r="I6" s="295"/>
      <c r="J6" s="295"/>
      <c r="K6" s="295"/>
      <c r="L6" s="295"/>
    </row>
    <row r="7" spans="2:14" x14ac:dyDescent="0.2">
      <c r="D7" s="148"/>
      <c r="J7" s="149"/>
      <c r="L7" s="136"/>
    </row>
    <row r="8" spans="2:14" ht="16" thickBot="1" x14ac:dyDescent="0.25">
      <c r="B8" s="150" t="s">
        <v>35</v>
      </c>
      <c r="C8" s="151">
        <v>44624</v>
      </c>
      <c r="D8" s="152"/>
      <c r="E8" s="152"/>
      <c r="F8" s="152"/>
      <c r="G8" s="152"/>
      <c r="H8" s="150"/>
      <c r="I8" s="150"/>
      <c r="J8" s="150"/>
      <c r="K8" s="150"/>
      <c r="L8" s="150"/>
      <c r="M8" s="150"/>
    </row>
    <row r="9" spans="2:14" ht="17" thickTop="1" thickBot="1" x14ac:dyDescent="0.25">
      <c r="B9" s="150" t="s">
        <v>36</v>
      </c>
      <c r="C9" s="151">
        <f>C10-C11</f>
        <v>44593</v>
      </c>
      <c r="D9" s="152"/>
      <c r="E9" s="152"/>
      <c r="F9" s="152"/>
      <c r="G9" s="152"/>
      <c r="H9" s="150"/>
      <c r="I9" s="150"/>
      <c r="J9" s="150"/>
      <c r="K9" s="150"/>
      <c r="L9" s="150"/>
      <c r="M9" s="150"/>
    </row>
    <row r="10" spans="2:14" ht="17" thickTop="1" thickBot="1" x14ac:dyDescent="0.25">
      <c r="B10" s="150" t="s">
        <v>37</v>
      </c>
      <c r="C10" s="151">
        <f>C8 - 1</f>
        <v>44623</v>
      </c>
      <c r="D10" s="152"/>
      <c r="E10" s="152"/>
      <c r="F10" s="152"/>
      <c r="G10" s="152"/>
      <c r="H10" s="150"/>
      <c r="I10" s="150"/>
      <c r="J10" s="150"/>
      <c r="K10" s="150"/>
      <c r="L10" s="150"/>
      <c r="M10" s="150"/>
    </row>
    <row r="11" spans="2:14" ht="17" thickTop="1" thickBot="1" x14ac:dyDescent="0.25">
      <c r="B11" s="150" t="s">
        <v>38</v>
      </c>
      <c r="C11" s="153">
        <v>30</v>
      </c>
      <c r="D11" s="152"/>
      <c r="E11" s="152"/>
      <c r="F11" s="152"/>
      <c r="G11" s="152"/>
      <c r="H11" s="150"/>
      <c r="I11" s="150"/>
      <c r="J11" s="150"/>
      <c r="K11" s="150"/>
      <c r="L11" s="150"/>
      <c r="M11" s="150"/>
    </row>
    <row r="12" spans="2:14" ht="17" thickTop="1" thickBot="1" x14ac:dyDescent="0.25">
      <c r="B12" s="150"/>
      <c r="C12" s="153"/>
      <c r="D12" s="152"/>
      <c r="E12" s="152"/>
      <c r="F12" s="152"/>
      <c r="G12" s="152"/>
      <c r="H12" s="150"/>
      <c r="I12" s="150"/>
      <c r="J12" s="150"/>
      <c r="K12" s="150"/>
      <c r="L12" s="150"/>
      <c r="M12" s="150"/>
    </row>
    <row r="13" spans="2:14" ht="16" thickTop="1" x14ac:dyDescent="0.2">
      <c r="B13" s="136" t="s">
        <v>39</v>
      </c>
      <c r="C13" s="154"/>
    </row>
    <row r="14" spans="2:14" x14ac:dyDescent="0.2">
      <c r="C14" s="154"/>
    </row>
    <row r="15" spans="2:14" ht="24" x14ac:dyDescent="0.2">
      <c r="B15" s="143" t="s">
        <v>40</v>
      </c>
      <c r="C15" s="155"/>
      <c r="D15" s="156"/>
      <c r="G15" s="157">
        <v>0.9</v>
      </c>
      <c r="H15" s="136" t="s">
        <v>41</v>
      </c>
      <c r="K15" s="158"/>
      <c r="N15" s="161"/>
    </row>
    <row r="16" spans="2:14" ht="16" x14ac:dyDescent="0.2">
      <c r="B16" s="162" t="str">
        <f>B32</f>
        <v>Paste Here -&gt;</v>
      </c>
      <c r="C16" s="163"/>
      <c r="D16" s="164" t="s">
        <v>42</v>
      </c>
      <c r="E16" s="164" t="s">
        <v>43</v>
      </c>
      <c r="F16" s="164" t="s">
        <v>44</v>
      </c>
      <c r="G16" s="164" t="s">
        <v>45</v>
      </c>
      <c r="J16" s="165"/>
      <c r="K16" s="166"/>
      <c r="L16" s="166"/>
      <c r="M16" s="166"/>
      <c r="N16" s="161"/>
    </row>
    <row r="17" spans="2:14" ht="24" x14ac:dyDescent="0.2">
      <c r="B17" s="143"/>
      <c r="C17" s="169" t="s">
        <v>46</v>
      </c>
      <c r="D17" s="170" t="s">
        <v>47</v>
      </c>
      <c r="E17" s="170" t="s">
        <v>47</v>
      </c>
      <c r="F17" s="171"/>
      <c r="G17" s="172"/>
      <c r="L17" s="161"/>
      <c r="M17" s="173"/>
      <c r="N17" s="161"/>
    </row>
    <row r="18" spans="2:14" ht="24" x14ac:dyDescent="0.2">
      <c r="B18" s="143"/>
      <c r="C18" s="169" t="s">
        <v>48</v>
      </c>
      <c r="D18" s="176">
        <f>D33</f>
        <v>506332</v>
      </c>
      <c r="E18" s="176">
        <f>D34</f>
        <v>508613</v>
      </c>
      <c r="F18" s="171"/>
      <c r="G18" s="172"/>
      <c r="L18" s="161"/>
      <c r="M18" s="173"/>
      <c r="N18" s="161"/>
    </row>
    <row r="19" spans="2:14" ht="24" x14ac:dyDescent="0.2">
      <c r="B19" s="143"/>
      <c r="C19" s="299" t="s">
        <v>49</v>
      </c>
      <c r="D19" s="297"/>
      <c r="E19" s="297"/>
      <c r="F19" s="297"/>
      <c r="G19" s="298"/>
      <c r="J19" s="158"/>
      <c r="L19" s="161"/>
      <c r="M19" s="173"/>
      <c r="N19" s="161"/>
    </row>
    <row r="20" spans="2:14" ht="24" x14ac:dyDescent="0.2">
      <c r="B20" s="143"/>
      <c r="C20" s="169" t="s">
        <v>50</v>
      </c>
      <c r="D20" s="179">
        <f>IF(G21&gt;=$G$15,D21,E21)*IF(G22&gt;=$G$15,D22,E22)</f>
        <v>3.7632853466190794</v>
      </c>
      <c r="E20" s="179">
        <f>E21*E22</f>
        <v>3.7632853466190794</v>
      </c>
      <c r="F20" s="180">
        <f>D20/E20-1</f>
        <v>0</v>
      </c>
      <c r="G20" s="172"/>
      <c r="L20" s="161"/>
      <c r="M20" s="173"/>
      <c r="N20" s="161"/>
    </row>
    <row r="21" spans="2:14" ht="24" x14ac:dyDescent="0.2">
      <c r="B21" s="143"/>
      <c r="C21" s="169" t="s">
        <v>51</v>
      </c>
      <c r="D21" s="182">
        <f>F33</f>
        <v>2.7813766461531102E-2</v>
      </c>
      <c r="E21" s="182">
        <f>F34</f>
        <v>2.79800162402455E-2</v>
      </c>
      <c r="F21" s="183">
        <f>D21/E21-1</f>
        <v>-5.9417327455039137E-3</v>
      </c>
      <c r="G21" s="184">
        <f>StatSig_aa!O17</f>
        <v>0.69445999083518772</v>
      </c>
      <c r="L21" s="161"/>
      <c r="M21" s="173"/>
      <c r="N21" s="166"/>
    </row>
    <row r="22" spans="2:14" ht="24" x14ac:dyDescent="0.2">
      <c r="B22" s="143"/>
      <c r="C22" s="169" t="s">
        <v>52</v>
      </c>
      <c r="D22" s="179">
        <f>G33</f>
        <v>135.62687282539</v>
      </c>
      <c r="E22" s="179">
        <f>G34</f>
        <v>134.499040826363</v>
      </c>
      <c r="F22" s="183">
        <f>D22/E22-1</f>
        <v>8.3854278223665091E-3</v>
      </c>
      <c r="G22" s="184">
        <f>StatSig_aa!G19</f>
        <v>0.86353145947623211</v>
      </c>
      <c r="L22" s="161"/>
      <c r="M22" s="173"/>
      <c r="N22" s="188"/>
    </row>
    <row r="23" spans="2:14" x14ac:dyDescent="0.2">
      <c r="B23"/>
      <c r="C23" s="296" t="s">
        <v>53</v>
      </c>
      <c r="D23" s="297"/>
      <c r="E23" s="297"/>
      <c r="F23" s="297"/>
      <c r="G23" s="298"/>
      <c r="H23" s="186"/>
      <c r="L23" s="166"/>
      <c r="M23" s="166"/>
      <c r="N23" s="187"/>
    </row>
    <row r="24" spans="2:14" x14ac:dyDescent="0.2">
      <c r="C24" s="191" t="s">
        <v>25</v>
      </c>
      <c r="D24" s="179" t="s">
        <v>266</v>
      </c>
      <c r="E24" s="179">
        <f>I34</f>
        <v>113.224244306416</v>
      </c>
      <c r="F24" s="192" t="e">
        <f>D24/E24-1</f>
        <v>#VALUE!</v>
      </c>
      <c r="G24" s="172"/>
      <c r="I24"/>
      <c r="J24"/>
      <c r="K24"/>
      <c r="L24" s="188"/>
      <c r="M24" s="193"/>
      <c r="N24" s="196"/>
    </row>
    <row r="25" spans="2:14" x14ac:dyDescent="0.2">
      <c r="C25" s="191" t="s">
        <v>26</v>
      </c>
      <c r="D25" s="179">
        <f>J33</f>
        <v>75.480468286898599</v>
      </c>
      <c r="E25" s="179">
        <f>J34</f>
        <v>75.270590664201194</v>
      </c>
      <c r="F25" s="192">
        <f>D25/E25-1</f>
        <v>2.7883084328874652E-3</v>
      </c>
      <c r="G25" s="197"/>
      <c r="I25"/>
      <c r="J25"/>
      <c r="K25"/>
      <c r="L25" s="188"/>
      <c r="M25" s="193"/>
      <c r="N25" s="196"/>
    </row>
    <row r="26" spans="2:14" x14ac:dyDescent="0.2">
      <c r="C26" s="191" t="s">
        <v>27</v>
      </c>
      <c r="D26" s="199">
        <f>K33</f>
        <v>1.5221968238690999</v>
      </c>
      <c r="E26" s="199">
        <f>K34</f>
        <v>1.5042295178941101</v>
      </c>
      <c r="F26" s="192">
        <f>D26/E26-1</f>
        <v>1.1944524263919343E-2</v>
      </c>
      <c r="G26" s="172"/>
      <c r="I26"/>
      <c r="J26"/>
      <c r="K26"/>
      <c r="L26" s="196"/>
      <c r="M26" s="193"/>
      <c r="N26" s="166"/>
    </row>
    <row r="27" spans="2:14" x14ac:dyDescent="0.2">
      <c r="C27" s="191" t="s">
        <v>54</v>
      </c>
      <c r="D27" s="199">
        <f>G33/I33</f>
        <v>1.1804303060427532</v>
      </c>
      <c r="E27" s="199">
        <f>G34/I34</f>
        <v>1.1878996556812651</v>
      </c>
      <c r="F27" s="192">
        <f>D27/E27-1</f>
        <v>-6.287862449314563E-3</v>
      </c>
      <c r="G27" s="172"/>
      <c r="I27"/>
      <c r="J27"/>
      <c r="K27"/>
      <c r="L27" s="196"/>
      <c r="M27" s="193"/>
      <c r="N27" s="188"/>
    </row>
    <row r="28" spans="2:14" x14ac:dyDescent="0.2">
      <c r="C28" s="160"/>
      <c r="D28" s="209"/>
      <c r="E28" s="209"/>
      <c r="F28" s="210"/>
      <c r="G28" s="194"/>
      <c r="I28" s="187"/>
      <c r="J28" s="160"/>
      <c r="K28" s="196"/>
      <c r="L28" s="196"/>
      <c r="M28" s="193"/>
    </row>
    <row r="31" spans="2:14" ht="16" thickBot="1" x14ac:dyDescent="0.25">
      <c r="B31" s="238" t="s">
        <v>55</v>
      </c>
      <c r="C31" s="127" t="s">
        <v>18</v>
      </c>
      <c r="D31" s="127" t="s">
        <v>20</v>
      </c>
      <c r="E31" s="127" t="s">
        <v>21</v>
      </c>
      <c r="F31" s="127" t="s">
        <v>22</v>
      </c>
      <c r="G31" s="127" t="s">
        <v>23</v>
      </c>
      <c r="H31" s="127" t="s">
        <v>24</v>
      </c>
      <c r="I31" s="127" t="s">
        <v>25</v>
      </c>
      <c r="J31" s="127" t="s">
        <v>26</v>
      </c>
      <c r="K31" s="239" t="s">
        <v>27</v>
      </c>
    </row>
    <row r="32" spans="2:14" s="235" customFormat="1" ht="49" thickBot="1" x14ac:dyDescent="0.25">
      <c r="B32" s="262" t="s">
        <v>28</v>
      </c>
      <c r="C32" s="272" t="s">
        <v>18</v>
      </c>
      <c r="D32" s="273" t="s">
        <v>20</v>
      </c>
      <c r="E32" s="273" t="s">
        <v>21</v>
      </c>
      <c r="F32" s="289" t="s">
        <v>22</v>
      </c>
      <c r="G32" s="274" t="s">
        <v>23</v>
      </c>
      <c r="H32" s="274" t="s">
        <v>24</v>
      </c>
      <c r="I32" s="275" t="s">
        <v>25</v>
      </c>
      <c r="J32" s="275" t="s">
        <v>26</v>
      </c>
      <c r="K32" s="276" t="s">
        <v>27</v>
      </c>
      <c r="L32" s="234"/>
    </row>
    <row r="33" spans="3:38" s="220" customFormat="1" ht="17" thickBot="1" x14ac:dyDescent="0.25">
      <c r="C33" s="236" t="s">
        <v>6</v>
      </c>
      <c r="D33" s="230">
        <v>506332</v>
      </c>
      <c r="E33" s="230">
        <v>14083</v>
      </c>
      <c r="F33" s="230">
        <v>2.7813766461531102E-2</v>
      </c>
      <c r="G33" s="230">
        <v>135.62687282539</v>
      </c>
      <c r="H33" s="230">
        <v>86.710070036517394</v>
      </c>
      <c r="I33" s="230">
        <v>114.896129090469</v>
      </c>
      <c r="J33" s="230">
        <v>75.480468286898599</v>
      </c>
      <c r="K33" s="231">
        <v>1.5221968238690999</v>
      </c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</row>
    <row r="34" spans="3:38" s="220" customFormat="1" ht="17" thickBot="1" x14ac:dyDescent="0.25">
      <c r="C34" s="277" t="s">
        <v>5</v>
      </c>
      <c r="D34" s="278">
        <v>508613</v>
      </c>
      <c r="E34" s="278">
        <v>14231</v>
      </c>
      <c r="F34" s="278">
        <v>2.79800162402455E-2</v>
      </c>
      <c r="G34" s="278">
        <v>134.499040826363</v>
      </c>
      <c r="H34" s="278">
        <v>86.389218176421394</v>
      </c>
      <c r="I34" s="278">
        <v>113.224244306416</v>
      </c>
      <c r="J34" s="278">
        <v>75.270590664201194</v>
      </c>
      <c r="K34" s="279">
        <v>1.5042295178941101</v>
      </c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</row>
    <row r="44" spans="3:38" x14ac:dyDescent="0.2">
      <c r="C44" s="136" t="s">
        <v>267</v>
      </c>
    </row>
    <row r="45" spans="3:38" x14ac:dyDescent="0.2">
      <c r="C45" s="136" t="s">
        <v>268</v>
      </c>
      <c r="E45" s="133" t="s">
        <v>270</v>
      </c>
    </row>
    <row r="46" spans="3:38" x14ac:dyDescent="0.2">
      <c r="C46" s="136" t="s">
        <v>125</v>
      </c>
    </row>
    <row r="47" spans="3:38" x14ac:dyDescent="0.2">
      <c r="C47" s="136" t="s">
        <v>269</v>
      </c>
    </row>
    <row r="48" spans="3:38" x14ac:dyDescent="0.2">
      <c r="C48" s="136" t="s">
        <v>271</v>
      </c>
    </row>
    <row r="49" spans="3:3" x14ac:dyDescent="0.2">
      <c r="C49" s="136" t="s">
        <v>272</v>
      </c>
    </row>
    <row r="50" spans="3:3" x14ac:dyDescent="0.2">
      <c r="C50" s="136" t="s">
        <v>273</v>
      </c>
    </row>
    <row r="51" spans="3:3" x14ac:dyDescent="0.2">
      <c r="C51" s="136" t="s">
        <v>274</v>
      </c>
    </row>
  </sheetData>
  <mergeCells count="3">
    <mergeCell ref="C6:L6"/>
    <mergeCell ref="C23:G23"/>
    <mergeCell ref="C19:G19"/>
  </mergeCells>
  <conditionalFormatting sqref="F17:F18 F20:F22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F24:F28">
    <cfRule type="cellIs" dxfId="11" priority="9" operator="lessThan">
      <formula>0</formula>
    </cfRule>
    <cfRule type="cellIs" dxfId="10" priority="10" operator="greaterThan">
      <formula>0</formula>
    </cfRule>
  </conditionalFormatting>
  <dataValidations disablePrompts="1" count="1">
    <dataValidation type="list" allowBlank="1" showInputMessage="1" showErrorMessage="1" sqref="F5" xr:uid="{3119A9B4-8F84-412D-AC53-6BFA310F1515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9180-56A0-4C3F-8E28-98A631CB64F1}">
  <sheetPr>
    <tabColor theme="6" tint="0.79998168889431442"/>
  </sheetPr>
  <dimension ref="A2:AX119"/>
  <sheetViews>
    <sheetView showGridLines="0" topLeftCell="A28" zoomScale="110" zoomScaleNormal="110" workbookViewId="0">
      <selection activeCell="D66" sqref="D66"/>
    </sheetView>
  </sheetViews>
  <sheetFormatPr baseColWidth="10" defaultColWidth="8.83203125" defaultRowHeight="15" outlineLevelRow="2" x14ac:dyDescent="0.2"/>
  <cols>
    <col min="1" max="1" width="3.83203125" customWidth="1"/>
    <col min="2" max="2" width="29.1640625" style="136" customWidth="1"/>
    <col min="3" max="3" width="45.83203125" style="136" customWidth="1"/>
    <col min="4" max="7" width="12.83203125" style="133" customWidth="1"/>
    <col min="8" max="8" width="17.1640625" style="136" bestFit="1" customWidth="1"/>
    <col min="9" max="9" width="12.1640625" style="136" bestFit="1" customWidth="1"/>
    <col min="10" max="10" width="26" style="136" bestFit="1" customWidth="1"/>
    <col min="11" max="11" width="12.1640625" style="136" bestFit="1" customWidth="1"/>
    <col min="12" max="12" width="15.83203125" bestFit="1" customWidth="1"/>
    <col min="13" max="13" width="17.5" bestFit="1" customWidth="1"/>
    <col min="14" max="14" width="16.6640625" bestFit="1" customWidth="1"/>
    <col min="15" max="15" width="17.1640625" bestFit="1" customWidth="1"/>
    <col min="16" max="16" width="18.83203125" style="137" bestFit="1" customWidth="1"/>
    <col min="17" max="17" width="20.6640625" style="138" bestFit="1" customWidth="1"/>
    <col min="18" max="18" width="19.83203125" style="138" bestFit="1" customWidth="1"/>
    <col min="19" max="19" width="25.83203125" style="138" bestFit="1" customWidth="1"/>
    <col min="20" max="20" width="22.6640625" style="138" bestFit="1" customWidth="1"/>
    <col min="21" max="21" width="30.5" style="138" bestFit="1" customWidth="1"/>
    <col min="22" max="22" width="30.5" bestFit="1" customWidth="1"/>
    <col min="23" max="23" width="24.1640625" bestFit="1" customWidth="1"/>
    <col min="24" max="24" width="15.83203125" bestFit="1" customWidth="1"/>
    <col min="25" max="25" width="22" bestFit="1" customWidth="1"/>
    <col min="26" max="27" width="21.5" bestFit="1" customWidth="1"/>
    <col min="28" max="28" width="19.83203125" bestFit="1" customWidth="1"/>
    <col min="29" max="29" width="19.5" bestFit="1" customWidth="1"/>
    <col min="30" max="30" width="19.6640625" bestFit="1" customWidth="1"/>
    <col min="31" max="31" width="23.83203125" bestFit="1" customWidth="1"/>
    <col min="32" max="32" width="23.33203125" bestFit="1" customWidth="1"/>
    <col min="33" max="33" width="23.5" bestFit="1" customWidth="1"/>
    <col min="34" max="34" width="17.33203125" bestFit="1" customWidth="1"/>
    <col min="35" max="35" width="17.1640625" bestFit="1" customWidth="1"/>
    <col min="36" max="36" width="27" bestFit="1" customWidth="1"/>
    <col min="37" max="37" width="16.83203125" bestFit="1" customWidth="1"/>
    <col min="38" max="38" width="17.1640625" bestFit="1" customWidth="1"/>
    <col min="39" max="39" width="27" bestFit="1" customWidth="1"/>
    <col min="40" max="40" width="16.83203125" bestFit="1" customWidth="1"/>
    <col min="41" max="42" width="18" bestFit="1" customWidth="1"/>
    <col min="43" max="43" width="21.83203125" bestFit="1" customWidth="1"/>
    <col min="44" max="45" width="21.5" bestFit="1" customWidth="1"/>
    <col min="46" max="47" width="16" bestFit="1" customWidth="1"/>
    <col min="48" max="48" width="12.33203125" bestFit="1" customWidth="1"/>
    <col min="49" max="52" width="12.83203125" bestFit="1" customWidth="1"/>
  </cols>
  <sheetData>
    <row r="2" spans="2:22" ht="21" thickBot="1" x14ac:dyDescent="0.3">
      <c r="B2" s="139" t="s">
        <v>29</v>
      </c>
      <c r="C2" s="140"/>
      <c r="D2" s="141"/>
      <c r="E2" s="141"/>
      <c r="F2" s="141"/>
      <c r="G2" s="141"/>
      <c r="H2" s="139"/>
      <c r="I2" s="139"/>
      <c r="J2" s="139"/>
      <c r="K2" s="139"/>
      <c r="L2" s="142"/>
      <c r="M2" s="247"/>
      <c r="N2" s="247"/>
      <c r="O2" s="247"/>
      <c r="P2" s="248"/>
      <c r="Q2" s="248"/>
      <c r="R2" s="248"/>
      <c r="S2" s="248"/>
      <c r="T2" s="248"/>
    </row>
    <row r="3" spans="2:22" ht="25" thickTop="1" x14ac:dyDescent="0.2">
      <c r="B3" s="143" t="s">
        <v>30</v>
      </c>
      <c r="C3" s="144" t="s">
        <v>31</v>
      </c>
    </row>
    <row r="4" spans="2:22" x14ac:dyDescent="0.2">
      <c r="Q4"/>
      <c r="R4"/>
      <c r="S4"/>
      <c r="T4"/>
      <c r="U4" s="129"/>
    </row>
    <row r="5" spans="2:22" ht="24" x14ac:dyDescent="0.3">
      <c r="B5" s="143" t="s">
        <v>32</v>
      </c>
      <c r="C5" s="145" t="s">
        <v>33</v>
      </c>
      <c r="D5" s="146"/>
      <c r="E5" s="146"/>
      <c r="F5" s="146"/>
      <c r="G5" s="146"/>
      <c r="H5" s="145"/>
      <c r="I5" s="145"/>
      <c r="J5" s="145"/>
      <c r="K5" s="145"/>
      <c r="L5" s="147"/>
      <c r="M5" s="242"/>
      <c r="N5" s="242"/>
      <c r="O5" s="242"/>
      <c r="P5" s="243"/>
      <c r="Q5" s="244"/>
      <c r="R5" s="244"/>
      <c r="S5" s="244"/>
      <c r="T5" s="244"/>
      <c r="U5" s="138" t="s">
        <v>56</v>
      </c>
    </row>
    <row r="6" spans="2:22" ht="30" customHeight="1" x14ac:dyDescent="0.2">
      <c r="C6" s="263" t="s">
        <v>34</v>
      </c>
      <c r="D6" s="155"/>
      <c r="E6" s="155"/>
      <c r="F6" s="155"/>
      <c r="G6" s="155"/>
      <c r="H6" s="155"/>
      <c r="I6" s="155"/>
      <c r="J6" s="155"/>
      <c r="K6" s="155"/>
      <c r="L6" s="155"/>
      <c r="U6" s="138" t="s">
        <v>57</v>
      </c>
    </row>
    <row r="7" spans="2:22" x14ac:dyDescent="0.2">
      <c r="D7" s="148"/>
      <c r="J7" s="149"/>
      <c r="L7" s="136"/>
    </row>
    <row r="8" spans="2:22" ht="16" thickBot="1" x14ac:dyDescent="0.25">
      <c r="B8" s="150" t="s">
        <v>35</v>
      </c>
      <c r="C8" s="151">
        <v>44856</v>
      </c>
      <c r="D8" s="152"/>
      <c r="E8" s="152"/>
      <c r="F8" s="152"/>
      <c r="G8" s="152"/>
      <c r="H8" s="150"/>
      <c r="I8" s="150"/>
      <c r="J8" s="150"/>
      <c r="K8" s="150"/>
      <c r="L8" s="150"/>
      <c r="M8" s="245"/>
      <c r="N8" s="245"/>
      <c r="O8" s="245"/>
      <c r="P8" s="246"/>
      <c r="Q8" s="246"/>
      <c r="R8" s="246"/>
      <c r="S8" s="246"/>
      <c r="T8" s="246"/>
    </row>
    <row r="9" spans="2:22" ht="17" thickTop="1" thickBot="1" x14ac:dyDescent="0.25">
      <c r="B9" s="150" t="s">
        <v>36</v>
      </c>
      <c r="C9" s="151">
        <f>C8</f>
        <v>44856</v>
      </c>
      <c r="D9" s="152"/>
      <c r="E9" s="152"/>
      <c r="F9" s="152"/>
      <c r="G9" s="152"/>
      <c r="H9" s="150"/>
      <c r="I9" s="150"/>
      <c r="J9" s="150"/>
      <c r="K9" s="150"/>
      <c r="L9" s="150"/>
      <c r="M9" s="245"/>
      <c r="N9" s="245"/>
      <c r="O9" s="245"/>
      <c r="P9" s="246"/>
      <c r="Q9" s="246"/>
      <c r="R9" s="246"/>
      <c r="S9" s="246"/>
      <c r="T9" s="246"/>
    </row>
    <row r="10" spans="2:22" ht="17" thickTop="1" thickBot="1" x14ac:dyDescent="0.25">
      <c r="B10" s="150" t="s">
        <v>37</v>
      </c>
      <c r="C10" s="151">
        <f>C8+C11</f>
        <v>44863</v>
      </c>
      <c r="D10" s="152"/>
      <c r="E10" s="152"/>
      <c r="F10" s="152"/>
      <c r="G10" s="152"/>
      <c r="H10" s="150"/>
      <c r="I10" s="150"/>
      <c r="J10" s="150"/>
      <c r="K10" s="150"/>
      <c r="L10" s="150"/>
      <c r="M10" s="245"/>
      <c r="N10" s="245"/>
      <c r="O10" s="245"/>
      <c r="P10" s="246"/>
      <c r="Q10" s="246"/>
      <c r="R10" s="246"/>
      <c r="S10" s="246"/>
      <c r="T10" s="246"/>
    </row>
    <row r="11" spans="2:22" ht="17" thickTop="1" thickBot="1" x14ac:dyDescent="0.25">
      <c r="B11" s="150" t="s">
        <v>38</v>
      </c>
      <c r="C11" s="153">
        <v>7</v>
      </c>
      <c r="D11" s="152"/>
      <c r="E11" s="152"/>
      <c r="F11" s="152"/>
      <c r="G11" s="152"/>
      <c r="H11" s="150"/>
      <c r="I11" s="150"/>
      <c r="J11" s="150"/>
      <c r="K11" s="150"/>
      <c r="L11" s="150"/>
      <c r="M11" s="245"/>
      <c r="N11" s="245"/>
      <c r="O11" s="245"/>
      <c r="P11" s="246"/>
      <c r="Q11" s="246"/>
      <c r="R11" s="246"/>
      <c r="S11" s="246"/>
      <c r="T11" s="246"/>
    </row>
    <row r="12" spans="2:22" ht="17" thickTop="1" thickBot="1" x14ac:dyDescent="0.25">
      <c r="B12" s="150"/>
      <c r="C12" s="153"/>
      <c r="D12" s="152"/>
      <c r="E12" s="152"/>
      <c r="F12" s="152"/>
      <c r="G12" s="152"/>
      <c r="H12" s="150"/>
      <c r="I12" s="150"/>
      <c r="J12" s="150"/>
      <c r="K12" s="150"/>
      <c r="L12" s="150"/>
      <c r="M12" s="245"/>
      <c r="N12" s="245"/>
      <c r="O12" s="245"/>
      <c r="P12" s="246"/>
      <c r="Q12" s="246"/>
      <c r="R12" s="246"/>
      <c r="S12" s="246"/>
      <c r="T12" s="246"/>
    </row>
    <row r="13" spans="2:22" ht="16" thickTop="1" x14ac:dyDescent="0.2">
      <c r="C13" s="154"/>
    </row>
    <row r="14" spans="2:22" x14ac:dyDescent="0.2">
      <c r="C14" s="154"/>
    </row>
    <row r="15" spans="2:22" ht="24" x14ac:dyDescent="0.2">
      <c r="B15" s="143" t="s">
        <v>40</v>
      </c>
      <c r="C15" s="155"/>
      <c r="D15" s="156"/>
      <c r="G15" s="157">
        <v>0.9</v>
      </c>
      <c r="H15" s="136" t="s">
        <v>41</v>
      </c>
      <c r="K15" s="158"/>
      <c r="P15" s="159"/>
      <c r="T15" s="136"/>
      <c r="U15" s="160"/>
      <c r="V15" s="161"/>
    </row>
    <row r="16" spans="2:22" ht="15" customHeight="1" x14ac:dyDescent="0.2">
      <c r="B16" s="162" t="s">
        <v>58</v>
      </c>
      <c r="C16" s="163"/>
      <c r="D16" s="164" t="s">
        <v>42</v>
      </c>
      <c r="E16" s="164" t="s">
        <v>43</v>
      </c>
      <c r="F16" s="164" t="s">
        <v>44</v>
      </c>
      <c r="G16" s="164" t="s">
        <v>295</v>
      </c>
      <c r="I16"/>
      <c r="J16" s="167" t="s">
        <v>59</v>
      </c>
      <c r="K16" s="168">
        <f>D20-E20</f>
        <v>0</v>
      </c>
      <c r="L16" s="166"/>
      <c r="M16" s="166"/>
      <c r="N16" s="166"/>
      <c r="T16" s="136"/>
      <c r="U16" s="155"/>
      <c r="V16" s="161"/>
    </row>
    <row r="17" spans="1:22" ht="15" customHeight="1" x14ac:dyDescent="0.2">
      <c r="B17" s="143"/>
      <c r="C17" s="169" t="s">
        <v>46</v>
      </c>
      <c r="D17" s="170" t="s">
        <v>47</v>
      </c>
      <c r="E17" s="170" t="s">
        <v>260</v>
      </c>
      <c r="F17" s="171"/>
      <c r="G17" s="172"/>
      <c r="I17"/>
      <c r="J17" s="167" t="s">
        <v>60</v>
      </c>
      <c r="K17" s="175">
        <f>SUM(D18,E18)</f>
        <v>902538</v>
      </c>
      <c r="L17" s="161"/>
      <c r="M17" s="173"/>
      <c r="N17" s="174"/>
      <c r="T17" s="136"/>
      <c r="U17" s="155"/>
      <c r="V17" s="161"/>
    </row>
    <row r="18" spans="1:22" ht="15" customHeight="1" x14ac:dyDescent="0.2">
      <c r="B18" s="143"/>
      <c r="C18" s="169" t="s">
        <v>48</v>
      </c>
      <c r="D18" s="176">
        <f>D67</f>
        <v>450426</v>
      </c>
      <c r="E18" s="176">
        <f>D68</f>
        <v>452112</v>
      </c>
      <c r="F18" s="171"/>
      <c r="G18" s="172"/>
      <c r="I18"/>
      <c r="J18" s="167" t="s">
        <v>61</v>
      </c>
      <c r="K18" s="177">
        <v>26</v>
      </c>
      <c r="L18" s="161"/>
      <c r="M18" s="173"/>
      <c r="N18" s="174"/>
      <c r="T18" s="136"/>
      <c r="U18" s="155"/>
      <c r="V18" s="161"/>
    </row>
    <row r="19" spans="1:22" ht="15" customHeight="1" x14ac:dyDescent="0.2">
      <c r="B19" s="143"/>
      <c r="C19" s="299" t="s">
        <v>49</v>
      </c>
      <c r="D19" s="297"/>
      <c r="E19" s="297"/>
      <c r="F19" s="297"/>
      <c r="G19" s="298"/>
      <c r="I19"/>
      <c r="J19" s="167" t="s">
        <v>62</v>
      </c>
      <c r="K19" s="178">
        <f>K16*K17*K18</f>
        <v>0</v>
      </c>
      <c r="L19" s="161"/>
      <c r="M19" s="173"/>
      <c r="N19" s="174"/>
      <c r="T19" s="136"/>
      <c r="U19" s="136"/>
      <c r="V19" s="161"/>
    </row>
    <row r="20" spans="1:22" ht="15" customHeight="1" x14ac:dyDescent="0.2">
      <c r="B20" s="143"/>
      <c r="C20" s="169" t="s">
        <v>50</v>
      </c>
      <c r="D20" s="179">
        <f>IF(G21&gt;=$G$15,D21,E21)*IF(G22&gt;=$G$15,D22,E22)</f>
        <v>0.75047368793572999</v>
      </c>
      <c r="E20" s="179">
        <f>E21*E22</f>
        <v>0.75047368793572999</v>
      </c>
      <c r="F20" s="212">
        <f>D20/E20-1</f>
        <v>0</v>
      </c>
      <c r="G20" s="172"/>
      <c r="H20" s="293">
        <f>D22*D21</f>
        <v>0.73475079147295574</v>
      </c>
      <c r="I20"/>
      <c r="J20" s="167" t="s">
        <v>63</v>
      </c>
      <c r="K20" s="181">
        <f>D39/D20</f>
        <v>0.31124038397378945</v>
      </c>
      <c r="L20" s="161"/>
      <c r="M20" s="173"/>
      <c r="N20" s="174"/>
      <c r="T20" s="136"/>
      <c r="U20" s="136"/>
      <c r="V20" s="161"/>
    </row>
    <row r="21" spans="1:22" ht="15" customHeight="1" x14ac:dyDescent="0.2">
      <c r="B21" s="143"/>
      <c r="C21" s="169" t="s">
        <v>51</v>
      </c>
      <c r="D21" s="182">
        <f>F67</f>
        <v>5.3105282554736996E-3</v>
      </c>
      <c r="E21" s="182">
        <f>F68</f>
        <v>5.3836217574406301E-3</v>
      </c>
      <c r="F21" s="192">
        <f>D21/E21-1</f>
        <v>-1.3577012884664286E-2</v>
      </c>
      <c r="G21" s="184">
        <f>StatSig!O21</f>
        <v>0.68299510265543029</v>
      </c>
      <c r="I21"/>
      <c r="J21" s="167" t="s">
        <v>64</v>
      </c>
      <c r="K21" s="185">
        <f>K19*K20</f>
        <v>0</v>
      </c>
      <c r="L21" s="161"/>
      <c r="M21" s="173"/>
      <c r="N21" s="174"/>
      <c r="T21" s="186"/>
      <c r="U21" s="136"/>
      <c r="V21" s="166"/>
    </row>
    <row r="22" spans="1:22" ht="15" customHeight="1" x14ac:dyDescent="0.2">
      <c r="B22" s="143"/>
      <c r="C22" s="169" t="s">
        <v>52</v>
      </c>
      <c r="D22" s="179">
        <f>G67</f>
        <v>138.35738294314299</v>
      </c>
      <c r="E22" s="179">
        <f>G68</f>
        <v>139.399408381265</v>
      </c>
      <c r="F22" s="192">
        <f>D22/E22-1</f>
        <v>-7.4751066035517733E-3</v>
      </c>
      <c r="G22" s="184">
        <f>StatSig!G24</f>
        <v>0.66786056731033194</v>
      </c>
      <c r="L22" s="161"/>
      <c r="M22" s="173"/>
      <c r="N22" s="174"/>
      <c r="P22"/>
      <c r="Q22"/>
      <c r="T22" s="187"/>
      <c r="U22"/>
      <c r="V22" s="188"/>
    </row>
    <row r="23" spans="1:22" ht="15" hidden="1" customHeight="1" outlineLevel="1" x14ac:dyDescent="0.2">
      <c r="B23" s="143"/>
      <c r="C23" s="296" t="s">
        <v>262</v>
      </c>
      <c r="D23" s="297"/>
      <c r="E23" s="297"/>
      <c r="F23" s="297"/>
      <c r="G23" s="298"/>
      <c r="L23" s="161"/>
      <c r="M23" s="173"/>
      <c r="N23" s="174"/>
      <c r="P23"/>
      <c r="Q23"/>
      <c r="T23" s="187"/>
      <c r="U23"/>
      <c r="V23" s="188"/>
    </row>
    <row r="24" spans="1:22" ht="15" hidden="1" customHeight="1" outlineLevel="1" x14ac:dyDescent="0.2">
      <c r="B24" s="143"/>
      <c r="C24" s="191" t="s">
        <v>263</v>
      </c>
      <c r="D24" s="179" t="str">
        <f>AO66</f>
        <v>first_usage</v>
      </c>
      <c r="E24" s="179">
        <f>AO67</f>
        <v>0</v>
      </c>
      <c r="F24" s="192" t="e">
        <f>D24/E24-1</f>
        <v>#VALUE!</v>
      </c>
      <c r="G24" s="172"/>
      <c r="L24" s="161"/>
      <c r="M24" s="173"/>
      <c r="N24" s="174"/>
      <c r="P24"/>
      <c r="Q24"/>
      <c r="T24" s="187"/>
      <c r="U24"/>
      <c r="V24" s="188"/>
    </row>
    <row r="25" spans="1:22" ht="15" customHeight="1" collapsed="1" x14ac:dyDescent="0.2">
      <c r="B25"/>
      <c r="C25" s="296" t="s">
        <v>53</v>
      </c>
      <c r="D25" s="297"/>
      <c r="E25" s="297"/>
      <c r="F25" s="297"/>
      <c r="G25" s="298"/>
      <c r="H25" s="186"/>
      <c r="L25" s="166"/>
      <c r="M25" s="166"/>
      <c r="N25" s="166"/>
      <c r="P25" s="159"/>
      <c r="Q25" s="189"/>
      <c r="R25" s="190"/>
      <c r="S25" s="190"/>
      <c r="T25" s="187"/>
      <c r="U25"/>
      <c r="V25" s="187"/>
    </row>
    <row r="26" spans="1:22" ht="15" customHeight="1" x14ac:dyDescent="0.2">
      <c r="C26" s="191" t="s">
        <v>25</v>
      </c>
      <c r="D26" s="179">
        <f>I67</f>
        <v>130.29561417322799</v>
      </c>
      <c r="E26" s="179">
        <f>I68</f>
        <v>130.24881381957701</v>
      </c>
      <c r="F26" s="192">
        <f>D26/E26-1</f>
        <v>3.5931500854813336E-4</v>
      </c>
      <c r="G26" s="172"/>
      <c r="I26"/>
      <c r="J26"/>
      <c r="K26"/>
      <c r="L26" s="188"/>
      <c r="M26" s="193"/>
      <c r="N26" s="194"/>
      <c r="P26"/>
      <c r="Q26"/>
      <c r="R26" s="195"/>
      <c r="S26" s="195"/>
      <c r="T26" s="187"/>
      <c r="U26" s="160"/>
      <c r="V26" s="196"/>
    </row>
    <row r="27" spans="1:22" ht="15" customHeight="1" x14ac:dyDescent="0.2">
      <c r="C27" s="191" t="s">
        <v>26</v>
      </c>
      <c r="D27" s="179">
        <f>J67</f>
        <v>87.553137566137494</v>
      </c>
      <c r="E27" s="179">
        <f>J68</f>
        <v>87.425447049729399</v>
      </c>
      <c r="F27" s="192">
        <f>D27/E27-1</f>
        <v>1.4605646378389459E-3</v>
      </c>
      <c r="G27" s="197"/>
      <c r="I27"/>
      <c r="J27"/>
      <c r="K27"/>
      <c r="L27" s="188"/>
      <c r="M27" s="193"/>
      <c r="N27" s="194"/>
      <c r="P27" s="158"/>
      <c r="Q27"/>
      <c r="R27" s="198"/>
      <c r="S27" s="195"/>
      <c r="T27" s="187"/>
      <c r="U27" s="160"/>
      <c r="V27" s="196"/>
    </row>
    <row r="28" spans="1:22" ht="15" customHeight="1" x14ac:dyDescent="0.2">
      <c r="C28" s="191" t="s">
        <v>27</v>
      </c>
      <c r="D28" s="213">
        <f>K67</f>
        <v>1.4881889763779499</v>
      </c>
      <c r="E28" s="213">
        <f>K68</f>
        <v>1.4898272552783101</v>
      </c>
      <c r="F28" s="192">
        <f>D28/E28-1</f>
        <v>-1.0996435288426198E-3</v>
      </c>
      <c r="G28" s="172"/>
      <c r="I28"/>
      <c r="J28"/>
      <c r="K28"/>
      <c r="L28" s="196"/>
      <c r="M28" s="193"/>
      <c r="N28" s="194"/>
      <c r="P28" s="149"/>
      <c r="Q28" s="200"/>
      <c r="R28" s="201"/>
      <c r="S28" s="195"/>
      <c r="T28" s="186"/>
      <c r="U28" s="155"/>
      <c r="V28" s="166"/>
    </row>
    <row r="29" spans="1:22" ht="15" customHeight="1" x14ac:dyDescent="0.2">
      <c r="C29" s="191" t="s">
        <v>65</v>
      </c>
      <c r="D29" s="213">
        <f>G67/I67</f>
        <v>1.0618729096989934</v>
      </c>
      <c r="E29" s="213">
        <f>G68/I68</f>
        <v>1.0702547247329528</v>
      </c>
      <c r="F29" s="192">
        <f>D29/E29-1</f>
        <v>-7.8316075979489863E-3</v>
      </c>
      <c r="G29" s="172"/>
      <c r="I29"/>
      <c r="J29"/>
      <c r="K29"/>
      <c r="L29" s="196"/>
      <c r="M29" s="193"/>
      <c r="N29" s="194"/>
      <c r="P29" s="149"/>
      <c r="Q29" s="200"/>
      <c r="R29" s="201"/>
      <c r="S29" s="195"/>
      <c r="T29" s="187"/>
      <c r="U29" s="202"/>
      <c r="V29" s="188"/>
    </row>
    <row r="30" spans="1:22" ht="15" customHeight="1" x14ac:dyDescent="0.2">
      <c r="C30" s="296" t="s">
        <v>66</v>
      </c>
      <c r="D30" s="297"/>
      <c r="E30" s="297"/>
      <c r="F30" s="297"/>
      <c r="G30" s="298"/>
      <c r="I30"/>
      <c r="J30"/>
      <c r="K30"/>
      <c r="L30" s="196"/>
      <c r="M30" s="193"/>
      <c r="N30" s="194"/>
      <c r="P30" s="149"/>
      <c r="Q30" s="200"/>
      <c r="R30" s="201"/>
      <c r="S30" s="195"/>
      <c r="T30" s="187"/>
      <c r="U30" s="202"/>
      <c r="V30" s="188"/>
    </row>
    <row r="31" spans="1:22" ht="15" customHeight="1" x14ac:dyDescent="0.2">
      <c r="C31" s="169" t="s">
        <v>67</v>
      </c>
      <c r="D31" s="214">
        <f>AI$67</f>
        <v>485</v>
      </c>
      <c r="E31" s="214">
        <f>AI$68</f>
        <v>543</v>
      </c>
      <c r="F31" s="172"/>
      <c r="G31" s="172"/>
      <c r="I31"/>
      <c r="J31"/>
      <c r="K31"/>
      <c r="L31" s="196"/>
      <c r="M31" s="193"/>
      <c r="N31" s="194"/>
      <c r="P31" s="149"/>
      <c r="Q31" s="200"/>
      <c r="R31" s="201"/>
      <c r="S31" s="195"/>
      <c r="T31" s="187"/>
      <c r="U31" s="202"/>
      <c r="V31" s="188"/>
    </row>
    <row r="32" spans="1:22" ht="15" customHeight="1" x14ac:dyDescent="0.2">
      <c r="C32" s="169" t="s">
        <v>68</v>
      </c>
      <c r="D32" s="215">
        <f>AJ$67</f>
        <v>1.0767584464484699E-3</v>
      </c>
      <c r="E32" s="215">
        <f>AJ$68</f>
        <v>1.20102983331563E-3</v>
      </c>
      <c r="F32" s="192">
        <f t="shared" ref="F32:F36" si="0">D32/E32-1</f>
        <v>-0.10347069108524098</v>
      </c>
      <c r="G32" s="197"/>
      <c r="I32"/>
      <c r="J32"/>
      <c r="K32"/>
      <c r="L32" s="196"/>
      <c r="M32" s="193"/>
      <c r="N32" s="194"/>
      <c r="P32" s="149"/>
      <c r="Q32" s="200"/>
      <c r="R32" s="201"/>
      <c r="S32" s="195"/>
      <c r="T32" s="187"/>
      <c r="U32" s="202"/>
      <c r="V32" s="188"/>
    </row>
    <row r="33" spans="2:22" ht="15" customHeight="1" x14ac:dyDescent="0.2">
      <c r="C33" s="169" t="s">
        <v>69</v>
      </c>
      <c r="D33" s="179">
        <f>AK$67</f>
        <v>131.88892783505099</v>
      </c>
      <c r="E33" s="179">
        <f>AK$68</f>
        <v>132.92241252302</v>
      </c>
      <c r="F33" s="192">
        <f t="shared" si="0"/>
        <v>-7.7750972793246831E-3</v>
      </c>
      <c r="G33" s="172"/>
      <c r="I33"/>
      <c r="J33"/>
      <c r="K33"/>
      <c r="L33" s="196"/>
      <c r="M33" s="193"/>
      <c r="N33" s="194"/>
      <c r="P33" s="149"/>
      <c r="Q33" s="200"/>
      <c r="R33" s="201"/>
      <c r="S33" s="195"/>
      <c r="T33" s="187"/>
      <c r="U33" s="202"/>
      <c r="V33" s="188"/>
    </row>
    <row r="34" spans="2:22" ht="15" customHeight="1" x14ac:dyDescent="0.2">
      <c r="C34" s="169" t="s">
        <v>70</v>
      </c>
      <c r="D34" s="214">
        <f>AL$67</f>
        <v>352</v>
      </c>
      <c r="E34" s="214">
        <f>AL$68</f>
        <v>348</v>
      </c>
      <c r="F34" s="172"/>
      <c r="G34" s="197"/>
      <c r="I34"/>
      <c r="J34"/>
      <c r="K34"/>
      <c r="L34" s="196"/>
      <c r="M34" s="193"/>
      <c r="N34" s="194"/>
      <c r="P34" s="149"/>
      <c r="Q34" s="200"/>
      <c r="R34" s="201"/>
      <c r="S34" s="195"/>
      <c r="T34" s="187"/>
      <c r="U34" s="202"/>
      <c r="V34" s="188"/>
    </row>
    <row r="35" spans="2:22" ht="15" customHeight="1" x14ac:dyDescent="0.2">
      <c r="C35" s="169" t="s">
        <v>71</v>
      </c>
      <c r="D35" s="215">
        <f>AM$67</f>
        <v>7.8148241886569604E-4</v>
      </c>
      <c r="E35" s="215">
        <f>AM$68</f>
        <v>7.6972077715256398E-4</v>
      </c>
      <c r="F35" s="192">
        <f t="shared" si="0"/>
        <v>1.5280400454619425E-2</v>
      </c>
      <c r="G35" s="172"/>
      <c r="I35"/>
      <c r="J35"/>
      <c r="K35"/>
      <c r="L35" s="196"/>
      <c r="M35" s="193"/>
      <c r="N35" s="194"/>
      <c r="P35" s="149"/>
      <c r="Q35" s="200"/>
      <c r="R35" s="201"/>
      <c r="S35" s="195"/>
      <c r="T35" s="187"/>
      <c r="U35" s="202"/>
      <c r="V35" s="188"/>
    </row>
    <row r="36" spans="2:22" ht="15" customHeight="1" x14ac:dyDescent="0.2">
      <c r="C36" s="169" t="s">
        <v>72</v>
      </c>
      <c r="D36" s="179">
        <f>AN$67</f>
        <v>136.14801136363599</v>
      </c>
      <c r="E36" s="179">
        <f>AN$68</f>
        <v>140.341408045977</v>
      </c>
      <c r="F36" s="192">
        <f t="shared" si="0"/>
        <v>-2.9879967293524823E-2</v>
      </c>
      <c r="G36" s="172"/>
      <c r="I36"/>
      <c r="J36"/>
      <c r="K36"/>
      <c r="L36" s="196"/>
      <c r="M36" s="193"/>
      <c r="N36" s="194"/>
      <c r="P36" s="149"/>
      <c r="Q36" s="200"/>
      <c r="R36" s="201"/>
      <c r="S36" s="195"/>
      <c r="T36" s="187"/>
      <c r="U36" s="202"/>
      <c r="V36" s="188"/>
    </row>
    <row r="37" spans="2:22" ht="15" customHeight="1" x14ac:dyDescent="0.2">
      <c r="B37"/>
      <c r="C37" s="296" t="s">
        <v>73</v>
      </c>
      <c r="D37" s="297"/>
      <c r="E37" s="297"/>
      <c r="F37" s="297"/>
      <c r="G37" s="298"/>
      <c r="H37" s="186"/>
      <c r="I37" s="186"/>
      <c r="J37" s="160"/>
      <c r="K37" s="166"/>
      <c r="L37" s="166"/>
      <c r="M37" s="166"/>
      <c r="N37" s="166"/>
      <c r="P37" s="136"/>
      <c r="Q37" s="190"/>
      <c r="R37" s="190"/>
      <c r="S37" s="190"/>
      <c r="T37" s="190"/>
      <c r="U37" s="190"/>
    </row>
    <row r="38" spans="2:22" ht="15" customHeight="1" x14ac:dyDescent="0.2">
      <c r="C38" s="191" t="s">
        <v>74</v>
      </c>
      <c r="D38" s="216">
        <f>X67</f>
        <v>43.164327884615297</v>
      </c>
      <c r="E38" s="216">
        <f>X68</f>
        <v>43.386725390304001</v>
      </c>
      <c r="F38" s="192">
        <f>D38/E38-1</f>
        <v>-5.1259343425444914E-3</v>
      </c>
      <c r="G38" s="172"/>
      <c r="I38" s="187"/>
      <c r="J38" s="160"/>
      <c r="K38" s="188"/>
      <c r="L38" s="188"/>
      <c r="M38" s="193"/>
      <c r="N38" s="194"/>
      <c r="P38" s="129"/>
      <c r="Q38" s="203"/>
      <c r="R38" s="195"/>
      <c r="S38" s="195"/>
      <c r="T38" s="204"/>
      <c r="U38" s="205"/>
    </row>
    <row r="39" spans="2:22" ht="15" customHeight="1" x14ac:dyDescent="0.2">
      <c r="C39" s="191" t="s">
        <v>75</v>
      </c>
      <c r="D39" s="179">
        <f>IF(G21&gt;=$G$15,D21,E21)*IF(G22&gt;=$G$15,D38,E38)</f>
        <v>0.23357771879534242</v>
      </c>
      <c r="E39" s="179">
        <f>E21*E38</f>
        <v>0.23357771879534242</v>
      </c>
      <c r="F39" s="192">
        <f>D39/E39-1</f>
        <v>0</v>
      </c>
      <c r="G39" s="197"/>
      <c r="I39" s="187"/>
      <c r="J39" s="160"/>
      <c r="K39" s="187"/>
      <c r="L39" s="188"/>
      <c r="M39" s="193"/>
      <c r="N39" s="194"/>
      <c r="P39" s="206"/>
      <c r="Q39" s="203"/>
      <c r="R39" s="198"/>
      <c r="S39" s="195"/>
      <c r="T39" s="207"/>
      <c r="U39" s="208"/>
    </row>
    <row r="40" spans="2:22" ht="15" customHeight="1" x14ac:dyDescent="0.2">
      <c r="B40"/>
      <c r="C40" s="296" t="s">
        <v>76</v>
      </c>
      <c r="D40" s="297"/>
      <c r="E40" s="297"/>
      <c r="F40" s="297"/>
      <c r="G40" s="298"/>
      <c r="H40" s="186"/>
      <c r="I40" s="186"/>
      <c r="J40" s="202"/>
      <c r="K40" s="166"/>
      <c r="L40" s="166"/>
      <c r="M40" s="166"/>
      <c r="N40" s="166"/>
      <c r="P40" s="206"/>
      <c r="Q40" s="190"/>
      <c r="R40" s="190"/>
      <c r="S40" s="190"/>
      <c r="T40" s="190"/>
      <c r="U40" s="190"/>
    </row>
    <row r="41" spans="2:22" ht="15" customHeight="1" x14ac:dyDescent="0.2">
      <c r="C41" s="191" t="s">
        <v>77</v>
      </c>
      <c r="D41" s="259">
        <f>Q67</f>
        <v>0.65341254723306297</v>
      </c>
      <c r="E41" s="182">
        <f>IF(E17="holdout",0,Q68)</f>
        <v>0</v>
      </c>
      <c r="F41" s="192">
        <f>IF(E17="holdout",0,D41/E41-1)</f>
        <v>0</v>
      </c>
      <c r="G41" s="172"/>
      <c r="I41" s="187"/>
      <c r="J41" s="160"/>
      <c r="K41" s="188"/>
      <c r="L41" s="188"/>
      <c r="M41" s="193"/>
      <c r="N41" s="194"/>
      <c r="P41" s="206"/>
      <c r="Q41" s="203"/>
      <c r="R41" s="195"/>
      <c r="S41" s="195"/>
      <c r="T41" s="204"/>
      <c r="U41" s="205"/>
    </row>
    <row r="42" spans="2:22" ht="15" customHeight="1" x14ac:dyDescent="0.2">
      <c r="C42" s="191" t="s">
        <v>78</v>
      </c>
      <c r="D42" s="259">
        <f>R67</f>
        <v>6.3095824841372296E-3</v>
      </c>
      <c r="E42" s="182">
        <f>IF(E17="holdout",0,R68)</f>
        <v>0</v>
      </c>
      <c r="F42" s="192">
        <f>IF(E17="holdout",0,D42/E42-1)</f>
        <v>0</v>
      </c>
      <c r="G42" s="197"/>
      <c r="I42" s="187"/>
      <c r="J42" s="160"/>
      <c r="K42" s="187"/>
      <c r="L42" s="188"/>
      <c r="M42" s="193"/>
      <c r="N42" s="194"/>
      <c r="P42" s="136"/>
      <c r="Q42" s="203"/>
      <c r="R42" s="198"/>
      <c r="S42" s="195"/>
      <c r="T42" s="207"/>
      <c r="U42" s="208"/>
    </row>
    <row r="43" spans="2:22" ht="15" customHeight="1" x14ac:dyDescent="0.2">
      <c r="B43"/>
      <c r="C43" s="296" t="s">
        <v>79</v>
      </c>
      <c r="D43" s="297"/>
      <c r="E43" s="297"/>
      <c r="F43" s="297"/>
      <c r="G43" s="298"/>
      <c r="H43" s="186"/>
      <c r="I43" s="186"/>
      <c r="J43" s="202"/>
      <c r="K43" s="166"/>
      <c r="L43" s="166"/>
      <c r="M43" s="166"/>
      <c r="N43" s="166"/>
      <c r="P43" s="159"/>
      <c r="Q43" s="190"/>
      <c r="R43" s="190"/>
      <c r="S43" s="190"/>
      <c r="T43" s="190"/>
      <c r="U43" s="190"/>
    </row>
    <row r="44" spans="2:22" ht="15" customHeight="1" x14ac:dyDescent="0.2">
      <c r="C44" s="191" t="s">
        <v>80</v>
      </c>
      <c r="D44" s="217">
        <f>T67</f>
        <v>0</v>
      </c>
      <c r="E44" s="217">
        <f>T68</f>
        <v>0</v>
      </c>
      <c r="F44" s="192" t="e">
        <f>D44/E44-1</f>
        <v>#DIV/0!</v>
      </c>
      <c r="G44" s="172"/>
      <c r="I44" s="187"/>
      <c r="J44" s="160"/>
      <c r="K44" s="188"/>
      <c r="L44" s="188"/>
      <c r="M44" s="193"/>
      <c r="N44" s="194"/>
      <c r="P44" s="159"/>
      <c r="Q44" s="203"/>
      <c r="R44" s="195"/>
      <c r="S44" s="195"/>
      <c r="T44" s="204"/>
      <c r="U44" s="205"/>
    </row>
    <row r="45" spans="2:22" ht="15" customHeight="1" x14ac:dyDescent="0.2">
      <c r="C45" s="191" t="s">
        <v>81</v>
      </c>
      <c r="D45" s="217">
        <f>U67</f>
        <v>0</v>
      </c>
      <c r="E45" s="217">
        <f>U68</f>
        <v>0</v>
      </c>
      <c r="F45" s="192" t="e">
        <f>D45/E45-1</f>
        <v>#DIV/0!</v>
      </c>
      <c r="G45" s="197"/>
      <c r="I45" s="187"/>
      <c r="J45" s="160"/>
      <c r="K45" s="187"/>
      <c r="L45" s="188"/>
      <c r="M45" s="193"/>
      <c r="N45" s="194"/>
      <c r="P45" s="159"/>
      <c r="Q45" s="203"/>
      <c r="R45" s="198"/>
      <c r="S45" s="195"/>
      <c r="T45" s="207"/>
      <c r="U45" s="208"/>
    </row>
    <row r="46" spans="2:22" ht="15" customHeight="1" x14ac:dyDescent="0.2">
      <c r="C46" s="191" t="s">
        <v>82</v>
      </c>
      <c r="D46" s="213">
        <f>V67</f>
        <v>0</v>
      </c>
      <c r="E46" s="213">
        <f>V68</f>
        <v>0</v>
      </c>
      <c r="F46" s="192" t="e">
        <f>D46/E46-1</f>
        <v>#DIV/0!</v>
      </c>
      <c r="G46" s="172"/>
      <c r="I46" s="187"/>
      <c r="J46" s="160"/>
      <c r="K46" s="196"/>
      <c r="L46" s="196"/>
      <c r="M46" s="193"/>
      <c r="N46" s="194"/>
      <c r="P46" s="159"/>
      <c r="Q46" s="203"/>
      <c r="R46" s="201"/>
      <c r="S46" s="195"/>
      <c r="T46" s="207"/>
      <c r="U46" s="208"/>
    </row>
    <row r="47" spans="2:22" ht="15" customHeight="1" x14ac:dyDescent="0.2">
      <c r="C47" s="191" t="s">
        <v>83</v>
      </c>
      <c r="D47" s="213">
        <f>W67</f>
        <v>0</v>
      </c>
      <c r="E47" s="213">
        <f>W68</f>
        <v>0</v>
      </c>
      <c r="F47" s="192" t="e">
        <f>D47/E47-1</f>
        <v>#DIV/0!</v>
      </c>
      <c r="G47" s="172"/>
      <c r="I47" s="187"/>
      <c r="J47" s="160"/>
      <c r="K47" s="196"/>
      <c r="L47" s="196"/>
      <c r="M47" s="193"/>
      <c r="N47" s="194"/>
      <c r="P47" s="159"/>
      <c r="Q47" s="203"/>
      <c r="R47" s="201"/>
      <c r="S47" s="195"/>
      <c r="T47" s="207"/>
      <c r="U47" s="208"/>
    </row>
    <row r="48" spans="2:22" ht="15" customHeight="1" x14ac:dyDescent="0.2">
      <c r="C48" s="296" t="s">
        <v>84</v>
      </c>
      <c r="D48" s="297"/>
      <c r="E48" s="297"/>
      <c r="F48" s="297"/>
      <c r="G48" s="298"/>
      <c r="I48" s="187"/>
      <c r="J48" s="160"/>
      <c r="K48" s="196"/>
      <c r="L48" s="196"/>
      <c r="M48" s="193"/>
      <c r="N48" s="194"/>
      <c r="P48" s="159"/>
      <c r="Q48" s="203"/>
      <c r="R48" s="201"/>
      <c r="S48" s="195"/>
      <c r="T48" s="207"/>
      <c r="U48" s="208"/>
    </row>
    <row r="49" spans="3:40" ht="15" customHeight="1" x14ac:dyDescent="0.2">
      <c r="C49" s="191" t="s">
        <v>85</v>
      </c>
      <c r="D49" s="179">
        <f>(Y67+AB67+AE67)*F67</f>
        <v>0.61288322610151169</v>
      </c>
      <c r="E49" s="179">
        <f>(Y68+AB68+AE68)*F68</f>
        <v>0.63316877233959579</v>
      </c>
      <c r="F49" s="192">
        <f t="shared" ref="F49:F55" si="1">D49/E49-1</f>
        <v>-3.2038134418928776E-2</v>
      </c>
      <c r="G49" s="172"/>
      <c r="I49" s="187"/>
      <c r="J49" s="160"/>
      <c r="K49" s="196"/>
      <c r="L49" s="196"/>
      <c r="M49" s="193"/>
      <c r="N49" s="194"/>
      <c r="P49" s="159"/>
      <c r="Q49" s="203"/>
      <c r="R49" s="201"/>
      <c r="S49" s="195"/>
      <c r="T49" s="207"/>
      <c r="U49" s="208"/>
    </row>
    <row r="50" spans="3:40" ht="15" customHeight="1" x14ac:dyDescent="0.2">
      <c r="C50" s="191" t="s">
        <v>86</v>
      </c>
      <c r="D50" s="179">
        <f>(Z67+AC67+AF67)*F67</f>
        <v>8.5609378677074188E-2</v>
      </c>
      <c r="E50" s="179">
        <f>(Z68+AC68+AF68)*F68</f>
        <v>8.8603399157730259E-2</v>
      </c>
      <c r="F50" s="192">
        <f t="shared" si="1"/>
        <v>-3.3791259806253748E-2</v>
      </c>
      <c r="G50" s="172"/>
      <c r="I50" s="187"/>
      <c r="J50" s="160"/>
      <c r="K50" s="196"/>
      <c r="L50" s="196"/>
      <c r="M50" s="193"/>
      <c r="N50" s="194"/>
      <c r="P50" s="159"/>
      <c r="Q50" s="203"/>
      <c r="R50" s="201"/>
      <c r="S50" s="195"/>
      <c r="T50" s="207"/>
      <c r="U50" s="208"/>
    </row>
    <row r="51" spans="3:40" ht="15" customHeight="1" x14ac:dyDescent="0.2">
      <c r="C51" s="191" t="s">
        <v>87</v>
      </c>
      <c r="D51" s="179">
        <f>(AA67+AD67+AG67)*F67</f>
        <v>1.4056981612961933E-2</v>
      </c>
      <c r="E51" s="179">
        <f>(AA68+AD68+AG68)*F68</f>
        <v>1.2422364369890602E-2</v>
      </c>
      <c r="F51" s="192">
        <f t="shared" si="1"/>
        <v>0.13158664440992607</v>
      </c>
      <c r="G51" s="172"/>
      <c r="I51" s="187"/>
      <c r="J51" s="160"/>
      <c r="K51" s="196"/>
      <c r="L51" s="196"/>
      <c r="M51" s="193"/>
      <c r="N51" s="194"/>
      <c r="P51" s="159"/>
      <c r="Q51" s="203"/>
      <c r="R51" s="201"/>
      <c r="S51" s="195"/>
      <c r="T51" s="207"/>
      <c r="U51" s="208"/>
    </row>
    <row r="52" spans="3:40" ht="15" hidden="1" customHeight="1" outlineLevel="2" x14ac:dyDescent="0.2">
      <c r="C52" s="191" t="s">
        <v>88</v>
      </c>
      <c r="D52" s="179">
        <f>Y67+AB67+AE67</f>
        <v>115.4090886287625</v>
      </c>
      <c r="E52" s="179">
        <f>Y68+AB68+AE68</f>
        <v>117.61018898931781</v>
      </c>
      <c r="F52" s="192">
        <f t="shared" si="1"/>
        <v>-1.8715218294183877E-2</v>
      </c>
      <c r="G52" s="172"/>
      <c r="I52" s="187"/>
      <c r="J52" s="160"/>
      <c r="K52" s="196"/>
      <c r="L52" s="196"/>
      <c r="M52" s="193"/>
      <c r="N52" s="194"/>
      <c r="P52" s="159"/>
      <c r="Q52" s="203"/>
      <c r="R52" s="201"/>
      <c r="S52" s="195"/>
      <c r="T52" s="207"/>
      <c r="U52" s="208"/>
    </row>
    <row r="53" spans="3:40" ht="15" hidden="1" customHeight="1" outlineLevel="2" x14ac:dyDescent="0.2">
      <c r="C53" s="191" t="s">
        <v>89</v>
      </c>
      <c r="D53" s="179">
        <f>Z67+AC67+AF67</f>
        <v>16.12068979933105</v>
      </c>
      <c r="E53" s="179">
        <f>Z68+AC68+AF68</f>
        <v>16.457953985209439</v>
      </c>
      <c r="F53" s="192">
        <f t="shared" si="1"/>
        <v>-2.0492473498314845E-2</v>
      </c>
      <c r="G53" s="172"/>
      <c r="I53" s="187"/>
      <c r="J53" s="160"/>
      <c r="K53" s="196"/>
      <c r="L53" s="196"/>
      <c r="M53" s="193"/>
      <c r="N53" s="194"/>
      <c r="P53" s="159"/>
      <c r="Q53" s="203"/>
      <c r="R53" s="201"/>
      <c r="S53" s="195"/>
      <c r="T53" s="207"/>
      <c r="U53" s="208"/>
    </row>
    <row r="54" spans="3:40" ht="15" hidden="1" customHeight="1" outlineLevel="2" x14ac:dyDescent="0.2">
      <c r="C54" s="191" t="s">
        <v>90</v>
      </c>
      <c r="D54" s="179">
        <f>AA67+AD67+AG67</f>
        <v>2.6470025083612043</v>
      </c>
      <c r="E54" s="179">
        <f>AA68+AD68+AG68</f>
        <v>2.3074363188167561</v>
      </c>
      <c r="F54" s="192">
        <f t="shared" si="1"/>
        <v>0.14716167322813756</v>
      </c>
      <c r="G54" s="172"/>
      <c r="I54" s="187"/>
      <c r="J54" s="160"/>
      <c r="K54" s="196"/>
      <c r="L54" s="196"/>
      <c r="M54" s="193"/>
      <c r="N54" s="194"/>
      <c r="P54" s="159"/>
      <c r="Q54" s="203"/>
      <c r="R54" s="201"/>
      <c r="S54" s="195"/>
      <c r="T54" s="207"/>
      <c r="U54" s="208"/>
    </row>
    <row r="55" spans="3:40" ht="15" hidden="1" customHeight="1" outlineLevel="2" x14ac:dyDescent="0.2">
      <c r="C55" s="191" t="s">
        <v>91</v>
      </c>
      <c r="D55" s="179">
        <f>AH67</f>
        <v>4.18060200668896</v>
      </c>
      <c r="E55" s="179">
        <f>AH68</f>
        <v>3.02382908792111</v>
      </c>
      <c r="F55" s="192">
        <f t="shared" si="1"/>
        <v>0.38255234840773822</v>
      </c>
      <c r="G55" s="172"/>
      <c r="I55" s="187"/>
      <c r="J55" s="160"/>
      <c r="K55" s="196"/>
      <c r="L55" s="196"/>
      <c r="M55" s="193"/>
      <c r="N55" s="194"/>
      <c r="P55" s="159"/>
      <c r="Q55" s="203"/>
      <c r="R55" s="201"/>
      <c r="S55" s="195"/>
      <c r="T55" s="207"/>
      <c r="U55" s="208"/>
    </row>
    <row r="56" spans="3:40" ht="15" customHeight="1" collapsed="1" x14ac:dyDescent="0.2">
      <c r="C56" s="296" t="s">
        <v>92</v>
      </c>
      <c r="D56" s="297"/>
      <c r="E56" s="297"/>
      <c r="F56" s="297"/>
      <c r="G56" s="298"/>
      <c r="I56" s="187"/>
      <c r="J56" s="160"/>
      <c r="K56" s="196"/>
      <c r="L56" s="196"/>
      <c r="M56" s="193"/>
      <c r="N56" s="194"/>
      <c r="P56" s="159"/>
      <c r="Q56" s="203"/>
      <c r="R56" s="201"/>
      <c r="S56" s="195"/>
      <c r="T56" s="207"/>
      <c r="U56" s="208"/>
    </row>
    <row r="57" spans="3:40" ht="15" customHeight="1" x14ac:dyDescent="0.2">
      <c r="C57" s="191" t="s">
        <v>93</v>
      </c>
      <c r="D57" s="218">
        <f>SUM(Y67:AA67)*F67</f>
        <v>0.37404270623809371</v>
      </c>
      <c r="E57" s="218">
        <f>SUM(Y68:AA68)*F68</f>
        <v>0.38305868899741541</v>
      </c>
      <c r="F57" s="192">
        <f t="shared" ref="F57:F62" si="2">D57/E57-1</f>
        <v>-2.3536818295179063E-2</v>
      </c>
      <c r="G57" s="172"/>
      <c r="I57" s="187"/>
      <c r="J57" s="160"/>
      <c r="K57" s="196"/>
      <c r="L57" s="196"/>
      <c r="M57" s="193"/>
      <c r="N57" s="194"/>
      <c r="P57" s="159"/>
      <c r="Q57" s="203"/>
      <c r="R57" s="201"/>
      <c r="S57" s="195"/>
      <c r="T57" s="207"/>
      <c r="U57" s="208"/>
      <c r="AB57" s="239"/>
      <c r="AC57" s="239"/>
    </row>
    <row r="58" spans="3:40" ht="15" customHeight="1" x14ac:dyDescent="0.2">
      <c r="C58" s="191" t="s">
        <v>94</v>
      </c>
      <c r="D58" s="218">
        <f>SUM(AB67:AD67)*F67</f>
        <v>0.12181312801658849</v>
      </c>
      <c r="E58" s="218">
        <f>SUM(AB68:AD68)*F68</f>
        <v>0.13081470962947181</v>
      </c>
      <c r="F58" s="192">
        <f t="shared" si="2"/>
        <v>-6.8811692801061808E-2</v>
      </c>
      <c r="G58" s="172"/>
      <c r="I58" s="187"/>
      <c r="J58" s="160"/>
      <c r="K58" s="196"/>
      <c r="L58" s="196"/>
      <c r="M58" s="193"/>
      <c r="N58" s="194"/>
      <c r="P58" s="159"/>
      <c r="Q58" s="203"/>
      <c r="R58" s="201"/>
      <c r="S58" s="195"/>
      <c r="T58" s="207"/>
      <c r="U58" s="208"/>
      <c r="AA58" s="239"/>
      <c r="AB58" s="239"/>
    </row>
    <row r="59" spans="3:40" ht="15" customHeight="1" x14ac:dyDescent="0.2">
      <c r="C59" s="191" t="s">
        <v>95</v>
      </c>
      <c r="D59" s="218">
        <f>SUM(AE67:AG67)*F67</f>
        <v>0.21669375213686565</v>
      </c>
      <c r="E59" s="218">
        <f>SUM(AE68:AG68)*F68</f>
        <v>0.22032113724032934</v>
      </c>
      <c r="F59" s="192">
        <f t="shared" si="2"/>
        <v>-1.6464081244764506E-2</v>
      </c>
      <c r="G59" s="172"/>
      <c r="I59" s="187"/>
      <c r="J59" s="160"/>
      <c r="K59" s="196"/>
      <c r="L59" s="196"/>
      <c r="M59" s="193"/>
      <c r="N59" s="194"/>
      <c r="P59" s="159"/>
      <c r="Q59" s="203"/>
      <c r="R59" s="201"/>
      <c r="S59" s="195"/>
      <c r="T59" s="207"/>
      <c r="U59" s="208"/>
    </row>
    <row r="60" spans="3:40" ht="15" hidden="1" customHeight="1" outlineLevel="1" x14ac:dyDescent="0.2">
      <c r="C60" s="191" t="s">
        <v>96</v>
      </c>
      <c r="D60" s="218">
        <f>SUM(Y67:AA67)</f>
        <v>70.43418060200662</v>
      </c>
      <c r="E60" s="218">
        <f>SUM(Y68:AA68)</f>
        <v>71.152600657353986</v>
      </c>
      <c r="F60" s="192">
        <f t="shared" si="2"/>
        <v>-1.0096891030125899E-2</v>
      </c>
      <c r="G60" s="172"/>
      <c r="I60" s="187"/>
      <c r="J60" s="160"/>
      <c r="K60" s="196"/>
      <c r="L60" s="196"/>
      <c r="M60" s="193"/>
      <c r="N60" s="194"/>
      <c r="P60" s="159"/>
      <c r="Q60" s="203"/>
      <c r="R60" s="201"/>
      <c r="S60" s="195"/>
      <c r="T60" s="207"/>
      <c r="U60" s="208"/>
    </row>
    <row r="61" spans="3:40" ht="15" hidden="1" customHeight="1" outlineLevel="1" x14ac:dyDescent="0.2">
      <c r="C61" s="191" t="s">
        <v>97</v>
      </c>
      <c r="D61" s="218">
        <f>SUM(AB67:AD67)</f>
        <v>22.938043478260855</v>
      </c>
      <c r="E61" s="218">
        <f>SUM(AB68:AD68)</f>
        <v>24.298644207066477</v>
      </c>
      <c r="F61" s="192">
        <f t="shared" si="2"/>
        <v>-5.5994923717181511E-2</v>
      </c>
      <c r="G61" s="172"/>
      <c r="I61" s="187"/>
      <c r="J61" s="160"/>
      <c r="K61" s="196"/>
      <c r="L61" s="196"/>
      <c r="M61" s="193"/>
      <c r="N61" s="194"/>
      <c r="P61" s="159"/>
      <c r="Q61" s="203"/>
      <c r="R61" s="201"/>
      <c r="S61" s="195"/>
      <c r="T61" s="207"/>
      <c r="U61" s="208"/>
    </row>
    <row r="62" spans="3:40" ht="15" hidden="1" customHeight="1" outlineLevel="1" x14ac:dyDescent="0.2">
      <c r="C62" s="191" t="s">
        <v>98</v>
      </c>
      <c r="D62" s="218">
        <f>SUM(AE67:AG67)</f>
        <v>40.804556856187283</v>
      </c>
      <c r="E62" s="218">
        <f>SUM(AE68:AG68)</f>
        <v>40.924334428923522</v>
      </c>
      <c r="F62" s="192">
        <f t="shared" si="2"/>
        <v>-2.9268056379576635E-3</v>
      </c>
      <c r="G62" s="172"/>
      <c r="I62" s="187"/>
      <c r="J62" s="160"/>
      <c r="K62" s="196"/>
      <c r="L62" s="196"/>
      <c r="M62" s="193"/>
      <c r="N62" s="194"/>
      <c r="P62" s="159"/>
      <c r="Q62" s="203"/>
      <c r="R62" s="201"/>
      <c r="S62" s="195"/>
      <c r="T62" s="207"/>
      <c r="U62" s="208"/>
    </row>
    <row r="63" spans="3:40" collapsed="1" x14ac:dyDescent="0.2">
      <c r="C63" s="160"/>
      <c r="D63" s="209"/>
      <c r="E63" s="209"/>
      <c r="F63" s="210"/>
      <c r="G63" s="194"/>
      <c r="I63" s="187"/>
      <c r="J63" s="160"/>
      <c r="K63" s="196"/>
      <c r="L63" s="196"/>
      <c r="M63" s="193"/>
      <c r="N63" s="194"/>
      <c r="P63" s="159"/>
      <c r="Q63" s="203"/>
      <c r="R63" s="201"/>
      <c r="S63" s="195"/>
      <c r="T63" s="207"/>
      <c r="U63" s="208"/>
    </row>
    <row r="64" spans="3:40" x14ac:dyDescent="0.2">
      <c r="C64" s="158"/>
      <c r="D64" s="156"/>
      <c r="E64" s="156"/>
      <c r="F64" s="156"/>
      <c r="G64" s="156"/>
      <c r="H64" s="158"/>
      <c r="I64" s="158"/>
      <c r="J64" s="158"/>
      <c r="K64" s="158"/>
      <c r="L64" s="129"/>
      <c r="M64" s="129"/>
      <c r="N64" s="129"/>
      <c r="O64" s="129"/>
      <c r="Q64" s="137"/>
      <c r="R64" s="137"/>
      <c r="S64" s="137"/>
      <c r="T64" s="265"/>
      <c r="U64" s="137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</row>
    <row r="65" spans="2:50" s="220" customFormat="1" ht="15" customHeight="1" thickBot="1" x14ac:dyDescent="0.25">
      <c r="B65" s="238" t="s">
        <v>55</v>
      </c>
      <c r="C65" s="127" t="s">
        <v>18</v>
      </c>
      <c r="D65" s="127" t="s">
        <v>20</v>
      </c>
      <c r="E65" s="127" t="s">
        <v>21</v>
      </c>
      <c r="F65" s="127" t="s">
        <v>22</v>
      </c>
      <c r="G65" s="127" t="s">
        <v>23</v>
      </c>
      <c r="H65" s="127" t="s">
        <v>24</v>
      </c>
      <c r="I65" s="127" t="s">
        <v>25</v>
      </c>
      <c r="J65" s="127" t="s">
        <v>26</v>
      </c>
      <c r="K65" s="239" t="s">
        <v>27</v>
      </c>
      <c r="L65" s="239" t="s">
        <v>251</v>
      </c>
      <c r="M65" s="239" t="s">
        <v>252</v>
      </c>
      <c r="N65" s="239" t="s">
        <v>253</v>
      </c>
      <c r="O65" s="240" t="s">
        <v>254</v>
      </c>
      <c r="P65" s="241" t="s">
        <v>255</v>
      </c>
      <c r="Q65" s="241" t="s">
        <v>256</v>
      </c>
      <c r="R65" s="241" t="s">
        <v>257</v>
      </c>
      <c r="S65" s="241" t="s">
        <v>258</v>
      </c>
      <c r="T65" s="241" t="s">
        <v>99</v>
      </c>
      <c r="U65" s="239" t="s">
        <v>100</v>
      </c>
      <c r="V65" s="239" t="s">
        <v>101</v>
      </c>
      <c r="W65" s="239" t="s">
        <v>102</v>
      </c>
      <c r="X65" s="239" t="s">
        <v>103</v>
      </c>
      <c r="Y65" s="239" t="s">
        <v>104</v>
      </c>
      <c r="Z65" s="239" t="s">
        <v>105</v>
      </c>
      <c r="AA65" s="239" t="s">
        <v>106</v>
      </c>
      <c r="AB65" s="239" t="s">
        <v>107</v>
      </c>
      <c r="AC65" s="239" t="s">
        <v>108</v>
      </c>
      <c r="AD65" s="239" t="s">
        <v>109</v>
      </c>
      <c r="AE65" s="239" t="s">
        <v>110</v>
      </c>
      <c r="AF65" s="239" t="s">
        <v>111</v>
      </c>
      <c r="AG65" s="239" t="s">
        <v>112</v>
      </c>
      <c r="AH65" s="239" t="s">
        <v>113</v>
      </c>
      <c r="AI65" s="239" t="s">
        <v>114</v>
      </c>
      <c r="AJ65" s="239" t="s">
        <v>115</v>
      </c>
      <c r="AK65" s="239" t="s">
        <v>116</v>
      </c>
      <c r="AL65" s="239" t="s">
        <v>117</v>
      </c>
      <c r="AM65" s="239" t="s">
        <v>118</v>
      </c>
      <c r="AN65" s="239" t="s">
        <v>119</v>
      </c>
      <c r="AO65" s="239" t="s">
        <v>264</v>
      </c>
      <c r="AP65" s="239"/>
      <c r="AQ65" s="239"/>
      <c r="AR65" s="239"/>
      <c r="AS65" s="239"/>
      <c r="AT65" s="239"/>
      <c r="AU65" s="239"/>
      <c r="AV65" s="239"/>
      <c r="AW65" s="239"/>
    </row>
    <row r="66" spans="2:50" s="235" customFormat="1" ht="16" customHeight="1" thickBot="1" x14ac:dyDescent="0.25">
      <c r="B66" s="262" t="s">
        <v>28</v>
      </c>
      <c r="C66" s="272" t="s">
        <v>18</v>
      </c>
      <c r="D66" s="280" t="s">
        <v>20</v>
      </c>
      <c r="E66" s="282" t="s">
        <v>21</v>
      </c>
      <c r="F66" s="282" t="s">
        <v>22</v>
      </c>
      <c r="G66" s="282" t="s">
        <v>23</v>
      </c>
      <c r="H66" s="283" t="s">
        <v>24</v>
      </c>
      <c r="I66" s="283" t="s">
        <v>25</v>
      </c>
      <c r="J66" s="281" t="s">
        <v>26</v>
      </c>
      <c r="K66" s="280" t="s">
        <v>27</v>
      </c>
      <c r="L66" s="280" t="s">
        <v>251</v>
      </c>
      <c r="M66" s="280" t="s">
        <v>252</v>
      </c>
      <c r="N66" s="280" t="s">
        <v>253</v>
      </c>
      <c r="O66" s="280" t="s">
        <v>254</v>
      </c>
      <c r="P66" s="284" t="s">
        <v>255</v>
      </c>
      <c r="Q66" s="284" t="s">
        <v>256</v>
      </c>
      <c r="R66" s="285" t="s">
        <v>257</v>
      </c>
      <c r="S66" s="281" t="s">
        <v>258</v>
      </c>
      <c r="T66" s="281" t="s">
        <v>99</v>
      </c>
      <c r="U66" s="281" t="s">
        <v>100</v>
      </c>
      <c r="V66" s="281" t="s">
        <v>101</v>
      </c>
      <c r="W66" s="281" t="s">
        <v>102</v>
      </c>
      <c r="X66" s="281" t="s">
        <v>103</v>
      </c>
      <c r="Y66" s="281" t="s">
        <v>104</v>
      </c>
      <c r="Z66" s="281" t="s">
        <v>105</v>
      </c>
      <c r="AA66" s="281" t="s">
        <v>106</v>
      </c>
      <c r="AB66" s="281" t="s">
        <v>107</v>
      </c>
      <c r="AC66" s="281" t="s">
        <v>108</v>
      </c>
      <c r="AD66" s="281" t="s">
        <v>109</v>
      </c>
      <c r="AE66" s="281" t="s">
        <v>110</v>
      </c>
      <c r="AF66" s="281" t="s">
        <v>111</v>
      </c>
      <c r="AG66" s="281" t="s">
        <v>112</v>
      </c>
      <c r="AH66" s="281" t="s">
        <v>113</v>
      </c>
      <c r="AI66" s="281" t="s">
        <v>114</v>
      </c>
      <c r="AJ66" s="281" t="s">
        <v>115</v>
      </c>
      <c r="AK66" s="281" t="s">
        <v>116</v>
      </c>
      <c r="AL66" s="281" t="s">
        <v>117</v>
      </c>
      <c r="AM66" s="281" t="s">
        <v>118</v>
      </c>
      <c r="AN66" s="286" t="s">
        <v>119</v>
      </c>
      <c r="AO66" s="264" t="s">
        <v>264</v>
      </c>
      <c r="AP66" s="264"/>
      <c r="AQ66" s="264"/>
      <c r="AR66" s="264"/>
      <c r="AS66" s="264"/>
      <c r="AT66" s="264"/>
      <c r="AU66" s="264"/>
      <c r="AV66" s="264"/>
      <c r="AW66" s="264"/>
      <c r="AX66" s="220"/>
    </row>
    <row r="67" spans="2:50" ht="16" customHeight="1" thickBot="1" x14ac:dyDescent="0.25">
      <c r="C67" s="211" t="s">
        <v>6</v>
      </c>
      <c r="D67" s="230">
        <v>450426</v>
      </c>
      <c r="E67" s="230">
        <v>2392</v>
      </c>
      <c r="F67" s="230">
        <v>5.3105282554736996E-3</v>
      </c>
      <c r="G67" s="230">
        <v>138.35738294314299</v>
      </c>
      <c r="H67" s="230">
        <v>83.368005260128399</v>
      </c>
      <c r="I67" s="230">
        <v>130.29561417322799</v>
      </c>
      <c r="J67" s="230">
        <v>87.553137566137494</v>
      </c>
      <c r="K67" s="230">
        <v>1.4881889763779499</v>
      </c>
      <c r="L67" s="230">
        <v>450426</v>
      </c>
      <c r="M67" s="230">
        <v>294314</v>
      </c>
      <c r="N67" s="230">
        <v>2842</v>
      </c>
      <c r="O67" s="230">
        <v>67</v>
      </c>
      <c r="P67" s="230">
        <v>5751.16</v>
      </c>
      <c r="Q67" s="230">
        <v>0.65341254723306297</v>
      </c>
      <c r="R67" s="230">
        <v>6.3095824841372296E-3</v>
      </c>
      <c r="S67" s="230">
        <v>1.4874807404545901E-4</v>
      </c>
      <c r="T67" s="230">
        <v>0</v>
      </c>
      <c r="U67" s="230">
        <v>0</v>
      </c>
      <c r="V67" s="230">
        <v>0</v>
      </c>
      <c r="W67" s="230">
        <v>0</v>
      </c>
      <c r="X67" s="230">
        <v>43.164327884615297</v>
      </c>
      <c r="Y67" s="230">
        <v>56.179510869565199</v>
      </c>
      <c r="Z67" s="230">
        <v>11.7871571906354</v>
      </c>
      <c r="AA67" s="230">
        <v>2.4675125418060202</v>
      </c>
      <c r="AB67" s="230">
        <v>18.552947324414699</v>
      </c>
      <c r="AC67" s="230">
        <v>4.2056061872909698</v>
      </c>
      <c r="AD67" s="230">
        <v>0.17948996655518401</v>
      </c>
      <c r="AE67" s="230">
        <v>40.676630434782602</v>
      </c>
      <c r="AF67" s="230">
        <v>0.12792642140468199</v>
      </c>
      <c r="AG67" s="230">
        <v>0</v>
      </c>
      <c r="AH67" s="230">
        <v>4.18060200668896</v>
      </c>
      <c r="AI67" s="230">
        <v>485</v>
      </c>
      <c r="AJ67" s="230">
        <v>1.0767584464484699E-3</v>
      </c>
      <c r="AK67" s="230">
        <v>131.88892783505099</v>
      </c>
      <c r="AL67" s="230">
        <v>352</v>
      </c>
      <c r="AM67" s="230">
        <v>7.8148241886569604E-4</v>
      </c>
      <c r="AN67" s="231">
        <v>136.14801136363599</v>
      </c>
      <c r="AO67">
        <v>0</v>
      </c>
    </row>
    <row r="68" spans="2:50" ht="16" customHeight="1" thickBot="1" x14ac:dyDescent="0.25">
      <c r="C68" s="219" t="s">
        <v>5</v>
      </c>
      <c r="D68" s="134">
        <v>452112</v>
      </c>
      <c r="E68" s="134">
        <v>2434</v>
      </c>
      <c r="F68" s="134">
        <v>5.3836217574406301E-3</v>
      </c>
      <c r="G68" s="134">
        <v>139.399408381265</v>
      </c>
      <c r="H68" s="134">
        <v>83.415720545307906</v>
      </c>
      <c r="I68" s="134">
        <v>130.24881381957701</v>
      </c>
      <c r="J68" s="134">
        <v>87.425447049729399</v>
      </c>
      <c r="K68" s="134">
        <v>1.4898272552783101</v>
      </c>
      <c r="L68" s="134">
        <v>10</v>
      </c>
      <c r="M68" s="134">
        <v>6</v>
      </c>
      <c r="N68" s="134">
        <v>1</v>
      </c>
      <c r="O68" s="134">
        <v>0</v>
      </c>
      <c r="P68" s="134">
        <v>0</v>
      </c>
      <c r="Q68" s="134">
        <v>0.6</v>
      </c>
      <c r="R68" s="134">
        <v>0.1</v>
      </c>
      <c r="S68" s="134">
        <v>0</v>
      </c>
      <c r="T68" s="134">
        <v>0</v>
      </c>
      <c r="U68" s="134">
        <v>0</v>
      </c>
      <c r="V68" s="134">
        <v>0</v>
      </c>
      <c r="W68" s="134">
        <v>0</v>
      </c>
      <c r="X68" s="134">
        <v>43.386725390304001</v>
      </c>
      <c r="Y68" s="134">
        <v>57.180813475759997</v>
      </c>
      <c r="Z68" s="134">
        <v>11.812818405916101</v>
      </c>
      <c r="AA68" s="134">
        <v>2.1589687756778901</v>
      </c>
      <c r="AB68" s="134">
        <v>19.657875924404198</v>
      </c>
      <c r="AC68" s="134">
        <v>4.4923007395234098</v>
      </c>
      <c r="AD68" s="134">
        <v>0.14846754313886601</v>
      </c>
      <c r="AE68" s="134">
        <v>40.771499589153599</v>
      </c>
      <c r="AF68" s="134">
        <v>0.15283483976992601</v>
      </c>
      <c r="AG68" s="134">
        <v>0</v>
      </c>
      <c r="AH68" s="134">
        <v>3.02382908792111</v>
      </c>
      <c r="AI68" s="134">
        <v>543</v>
      </c>
      <c r="AJ68" s="134">
        <v>1.20102983331563E-3</v>
      </c>
      <c r="AK68" s="134">
        <v>132.92241252302</v>
      </c>
      <c r="AL68" s="134">
        <v>348</v>
      </c>
      <c r="AM68" s="134">
        <v>7.6972077715256398E-4</v>
      </c>
      <c r="AN68" s="135">
        <v>140.341408045977</v>
      </c>
      <c r="AO68">
        <v>0</v>
      </c>
    </row>
    <row r="80" spans="2:50" x14ac:dyDescent="0.2">
      <c r="I80" s="127" t="s">
        <v>18</v>
      </c>
    </row>
    <row r="81" spans="3:22" x14ac:dyDescent="0.2">
      <c r="D81" s="133" t="s">
        <v>6</v>
      </c>
      <c r="E81" s="133" t="s">
        <v>5</v>
      </c>
      <c r="F81" s="133" t="s">
        <v>282</v>
      </c>
      <c r="G81" s="133" t="s">
        <v>283</v>
      </c>
      <c r="I81" s="127" t="s">
        <v>20</v>
      </c>
      <c r="K81" s="136" t="s">
        <v>67</v>
      </c>
      <c r="M81" t="s">
        <v>285</v>
      </c>
      <c r="N81" s="239" t="s">
        <v>114</v>
      </c>
    </row>
    <row r="82" spans="3:22" x14ac:dyDescent="0.2">
      <c r="C82" s="136" t="s">
        <v>284</v>
      </c>
      <c r="D82" s="133">
        <v>0</v>
      </c>
      <c r="E82" s="133">
        <v>0</v>
      </c>
      <c r="I82" s="127" t="s">
        <v>21</v>
      </c>
      <c r="K82" s="136" t="s">
        <v>276</v>
      </c>
      <c r="M82" t="s">
        <v>285</v>
      </c>
      <c r="N82" s="239" t="s">
        <v>115</v>
      </c>
    </row>
    <row r="83" spans="3:22" x14ac:dyDescent="0.2">
      <c r="I83" s="127" t="s">
        <v>22</v>
      </c>
      <c r="K83" s="136" t="s">
        <v>277</v>
      </c>
      <c r="M83" t="s">
        <v>285</v>
      </c>
      <c r="N83" s="239" t="s">
        <v>116</v>
      </c>
    </row>
    <row r="84" spans="3:22" x14ac:dyDescent="0.2">
      <c r="C84" s="136" t="s">
        <v>50</v>
      </c>
      <c r="D84" s="133" t="e">
        <v>#DIV/0!</v>
      </c>
      <c r="E84" s="133">
        <v>0</v>
      </c>
      <c r="F84" s="133" t="e">
        <v>#DIV/0!</v>
      </c>
      <c r="I84" s="127" t="s">
        <v>23</v>
      </c>
      <c r="K84" s="136" t="s">
        <v>70</v>
      </c>
      <c r="M84" t="s">
        <v>285</v>
      </c>
      <c r="N84" s="239" t="s">
        <v>117</v>
      </c>
    </row>
    <row r="85" spans="3:22" x14ac:dyDescent="0.2">
      <c r="C85" s="136" t="s">
        <v>275</v>
      </c>
      <c r="D85" s="133">
        <v>0</v>
      </c>
      <c r="E85" s="133">
        <v>0</v>
      </c>
      <c r="F85" s="133" t="e">
        <v>#DIV/0!</v>
      </c>
      <c r="G85" s="133" t="e">
        <v>#DIV/0!</v>
      </c>
      <c r="I85" s="127" t="s">
        <v>24</v>
      </c>
      <c r="K85" s="136" t="s">
        <v>278</v>
      </c>
      <c r="M85" t="s">
        <v>285</v>
      </c>
      <c r="N85" s="239" t="s">
        <v>118</v>
      </c>
    </row>
    <row r="86" spans="3:22" x14ac:dyDescent="0.2">
      <c r="C86" s="136" t="s">
        <v>52</v>
      </c>
      <c r="D86" s="133">
        <v>0</v>
      </c>
      <c r="E86" s="133">
        <v>0</v>
      </c>
      <c r="F86" s="133" t="e">
        <v>#DIV/0!</v>
      </c>
      <c r="G86" s="133" t="e">
        <v>#DIV/0!</v>
      </c>
      <c r="I86" s="127" t="s">
        <v>25</v>
      </c>
      <c r="K86" s="136" t="s">
        <v>279</v>
      </c>
      <c r="M86" t="s">
        <v>285</v>
      </c>
      <c r="N86" s="239" t="s">
        <v>119</v>
      </c>
    </row>
    <row r="87" spans="3:22" x14ac:dyDescent="0.2">
      <c r="I87" s="127" t="s">
        <v>26</v>
      </c>
      <c r="K87" s="136" t="s">
        <v>74</v>
      </c>
      <c r="M87" t="s">
        <v>285</v>
      </c>
      <c r="N87" s="239" t="s">
        <v>103</v>
      </c>
    </row>
    <row r="88" spans="3:22" x14ac:dyDescent="0.2">
      <c r="C88" s="136" t="s">
        <v>25</v>
      </c>
      <c r="D88" s="133">
        <v>0</v>
      </c>
      <c r="E88" s="133">
        <v>0</v>
      </c>
      <c r="F88" s="133" t="e">
        <v>#DIV/0!</v>
      </c>
      <c r="I88" s="239" t="s">
        <v>27</v>
      </c>
      <c r="K88" s="136" t="s">
        <v>75</v>
      </c>
      <c r="M88" t="s">
        <v>285</v>
      </c>
      <c r="N88" s="239" t="s">
        <v>286</v>
      </c>
    </row>
    <row r="89" spans="3:22" x14ac:dyDescent="0.2">
      <c r="C89" s="136" t="s">
        <v>26</v>
      </c>
      <c r="D89" s="133">
        <v>0</v>
      </c>
      <c r="E89" s="133">
        <v>0</v>
      </c>
      <c r="F89" s="133" t="e">
        <v>#DIV/0!</v>
      </c>
      <c r="I89" s="239" t="s">
        <v>251</v>
      </c>
      <c r="K89" s="136" t="s">
        <v>280</v>
      </c>
      <c r="M89" t="s">
        <v>285</v>
      </c>
      <c r="N89" s="241" t="s">
        <v>256</v>
      </c>
    </row>
    <row r="90" spans="3:22" x14ac:dyDescent="0.2">
      <c r="C90" s="136" t="s">
        <v>27</v>
      </c>
      <c r="D90" s="133">
        <v>0</v>
      </c>
      <c r="E90" s="133">
        <v>0</v>
      </c>
      <c r="F90" s="133" t="e">
        <v>#DIV/0!</v>
      </c>
      <c r="I90" s="239" t="s">
        <v>252</v>
      </c>
      <c r="K90" s="136" t="s">
        <v>281</v>
      </c>
      <c r="M90" t="s">
        <v>285</v>
      </c>
      <c r="N90" s="241" t="s">
        <v>257</v>
      </c>
    </row>
    <row r="91" spans="3:22" x14ac:dyDescent="0.2">
      <c r="C91" s="136" t="s">
        <v>65</v>
      </c>
      <c r="D91" s="133" t="e">
        <v>#DIV/0!</v>
      </c>
      <c r="E91" s="133" t="e">
        <v>#DIV/0!</v>
      </c>
      <c r="F91" s="133" t="e">
        <v>#DIV/0!</v>
      </c>
      <c r="I91" s="239" t="s">
        <v>253</v>
      </c>
      <c r="K91" s="136" t="s">
        <v>80</v>
      </c>
      <c r="M91" t="s">
        <v>285</v>
      </c>
      <c r="N91" s="241" t="s">
        <v>99</v>
      </c>
    </row>
    <row r="92" spans="3:22" x14ac:dyDescent="0.2">
      <c r="I92" s="240" t="s">
        <v>254</v>
      </c>
      <c r="K92" s="136" t="s">
        <v>81</v>
      </c>
      <c r="M92" t="s">
        <v>285</v>
      </c>
      <c r="N92" s="239" t="s">
        <v>100</v>
      </c>
    </row>
    <row r="93" spans="3:22" x14ac:dyDescent="0.2">
      <c r="C93" s="136" t="s">
        <v>67</v>
      </c>
      <c r="D93" s="133">
        <v>0</v>
      </c>
      <c r="E93" s="133">
        <v>0</v>
      </c>
      <c r="I93" s="241" t="s">
        <v>255</v>
      </c>
      <c r="K93" s="136" t="s">
        <v>82</v>
      </c>
      <c r="M93" t="s">
        <v>285</v>
      </c>
      <c r="N93" s="239" t="s">
        <v>101</v>
      </c>
    </row>
    <row r="94" spans="3:22" x14ac:dyDescent="0.2">
      <c r="C94" s="136" t="s">
        <v>276</v>
      </c>
      <c r="D94" s="133">
        <v>0</v>
      </c>
      <c r="E94" s="133">
        <v>0</v>
      </c>
      <c r="F94" s="133" t="e">
        <v>#DIV/0!</v>
      </c>
      <c r="I94" s="241" t="s">
        <v>256</v>
      </c>
      <c r="K94" s="136" t="s">
        <v>83</v>
      </c>
      <c r="M94" t="s">
        <v>285</v>
      </c>
      <c r="N94" s="239" t="s">
        <v>102</v>
      </c>
    </row>
    <row r="95" spans="3:22" x14ac:dyDescent="0.2">
      <c r="C95" s="136" t="s">
        <v>277</v>
      </c>
      <c r="D95" s="133">
        <v>0</v>
      </c>
      <c r="E95" s="133">
        <v>0</v>
      </c>
      <c r="F95" s="133" t="e">
        <v>#DIV/0!</v>
      </c>
      <c r="I95" s="241" t="s">
        <v>257</v>
      </c>
    </row>
    <row r="96" spans="3:22" ht="27" x14ac:dyDescent="0.2">
      <c r="C96" s="136" t="s">
        <v>70</v>
      </c>
      <c r="D96" s="133">
        <v>0</v>
      </c>
      <c r="E96" s="133">
        <v>0</v>
      </c>
      <c r="I96" s="241" t="s">
        <v>258</v>
      </c>
      <c r="K96" s="136" t="s">
        <v>85</v>
      </c>
      <c r="M96" t="s">
        <v>285</v>
      </c>
      <c r="O96" s="239" t="s">
        <v>287</v>
      </c>
      <c r="P96" s="239"/>
      <c r="Q96" s="239"/>
      <c r="V96" s="138"/>
    </row>
    <row r="97" spans="3:22" ht="27" x14ac:dyDescent="0.2">
      <c r="C97" s="136" t="s">
        <v>278</v>
      </c>
      <c r="D97" s="133">
        <v>0</v>
      </c>
      <c r="E97" s="133">
        <v>0</v>
      </c>
      <c r="F97" s="133" t="e">
        <v>#DIV/0!</v>
      </c>
      <c r="I97" s="241" t="s">
        <v>99</v>
      </c>
      <c r="K97" s="136" t="s">
        <v>86</v>
      </c>
      <c r="M97" t="s">
        <v>285</v>
      </c>
      <c r="O97" s="239" t="s">
        <v>288</v>
      </c>
      <c r="P97"/>
      <c r="Q97" s="137"/>
      <c r="V97" s="138"/>
    </row>
    <row r="98" spans="3:22" x14ac:dyDescent="0.2">
      <c r="C98" s="136" t="s">
        <v>279</v>
      </c>
      <c r="D98" s="133">
        <v>0</v>
      </c>
      <c r="E98" s="133">
        <v>0</v>
      </c>
      <c r="F98" s="133" t="e">
        <v>#DIV/0!</v>
      </c>
      <c r="I98" s="239" t="s">
        <v>100</v>
      </c>
      <c r="K98" s="136" t="s">
        <v>289</v>
      </c>
      <c r="M98" t="s">
        <v>285</v>
      </c>
      <c r="O98" s="239" t="s">
        <v>290</v>
      </c>
      <c r="P98"/>
      <c r="Q98" s="137"/>
      <c r="V98" s="138"/>
    </row>
    <row r="99" spans="3:22" x14ac:dyDescent="0.2">
      <c r="I99" s="239" t="s">
        <v>101</v>
      </c>
      <c r="M99" t="s">
        <v>285</v>
      </c>
      <c r="P99"/>
      <c r="Q99" s="137"/>
      <c r="V99" s="138"/>
    </row>
    <row r="100" spans="3:22" x14ac:dyDescent="0.2">
      <c r="C100" s="136" t="s">
        <v>74</v>
      </c>
      <c r="D100" s="133">
        <v>0</v>
      </c>
      <c r="E100" s="133">
        <v>0</v>
      </c>
      <c r="F100" s="133" t="e">
        <v>#DIV/0!</v>
      </c>
      <c r="I100" s="239" t="s">
        <v>102</v>
      </c>
      <c r="K100" s="136" t="s">
        <v>93</v>
      </c>
      <c r="M100" t="s">
        <v>285</v>
      </c>
      <c r="O100" s="239" t="s">
        <v>291</v>
      </c>
      <c r="P100" s="239"/>
      <c r="Q100" s="239"/>
      <c r="V100" s="138"/>
    </row>
    <row r="101" spans="3:22" x14ac:dyDescent="0.2">
      <c r="C101" s="136" t="s">
        <v>75</v>
      </c>
      <c r="D101" s="133" t="e">
        <v>#DIV/0!</v>
      </c>
      <c r="E101" s="133">
        <v>0</v>
      </c>
      <c r="F101" s="133" t="e">
        <v>#DIV/0!</v>
      </c>
      <c r="I101" s="239" t="s">
        <v>103</v>
      </c>
      <c r="K101" s="136" t="s">
        <v>94</v>
      </c>
      <c r="M101" t="s">
        <v>285</v>
      </c>
      <c r="O101" s="239" t="s">
        <v>292</v>
      </c>
      <c r="P101" s="239"/>
      <c r="Q101" s="239"/>
      <c r="V101" s="138"/>
    </row>
    <row r="102" spans="3:22" x14ac:dyDescent="0.2">
      <c r="I102" s="239" t="s">
        <v>104</v>
      </c>
      <c r="K102" s="136" t="s">
        <v>95</v>
      </c>
      <c r="M102" t="s">
        <v>285</v>
      </c>
      <c r="O102" s="239" t="s">
        <v>293</v>
      </c>
      <c r="P102" s="239"/>
      <c r="Q102" s="239"/>
      <c r="V102" s="138"/>
    </row>
    <row r="103" spans="3:22" x14ac:dyDescent="0.2">
      <c r="C103" s="136" t="s">
        <v>280</v>
      </c>
      <c r="D103" s="133">
        <v>0</v>
      </c>
      <c r="E103" s="133">
        <v>0</v>
      </c>
      <c r="F103" s="133">
        <v>0</v>
      </c>
      <c r="I103" s="239" t="s">
        <v>105</v>
      </c>
    </row>
    <row r="104" spans="3:22" x14ac:dyDescent="0.2">
      <c r="C104" s="136" t="s">
        <v>281</v>
      </c>
      <c r="D104" s="133">
        <v>0</v>
      </c>
      <c r="E104" s="133">
        <v>0</v>
      </c>
      <c r="F104" s="133">
        <v>0</v>
      </c>
      <c r="I104" s="239" t="s">
        <v>106</v>
      </c>
    </row>
    <row r="105" spans="3:22" x14ac:dyDescent="0.2">
      <c r="I105" s="239" t="s">
        <v>107</v>
      </c>
    </row>
    <row r="106" spans="3:22" x14ac:dyDescent="0.2">
      <c r="C106" s="136" t="s">
        <v>80</v>
      </c>
      <c r="D106" s="133">
        <v>0</v>
      </c>
      <c r="E106" s="133">
        <v>0</v>
      </c>
      <c r="F106" s="133" t="e">
        <v>#DIV/0!</v>
      </c>
      <c r="I106" s="239" t="s">
        <v>108</v>
      </c>
    </row>
    <row r="107" spans="3:22" x14ac:dyDescent="0.2">
      <c r="C107" s="136" t="s">
        <v>81</v>
      </c>
      <c r="D107" s="133">
        <v>0</v>
      </c>
      <c r="E107" s="133">
        <v>0</v>
      </c>
      <c r="F107" s="133" t="e">
        <v>#DIV/0!</v>
      </c>
      <c r="I107" s="239" t="s">
        <v>109</v>
      </c>
    </row>
    <row r="108" spans="3:22" x14ac:dyDescent="0.2">
      <c r="C108" s="136" t="s">
        <v>82</v>
      </c>
      <c r="D108" s="133">
        <v>0</v>
      </c>
      <c r="E108" s="133">
        <v>0</v>
      </c>
      <c r="F108" s="133" t="e">
        <v>#DIV/0!</v>
      </c>
      <c r="I108" s="239" t="s">
        <v>110</v>
      </c>
    </row>
    <row r="109" spans="3:22" x14ac:dyDescent="0.2">
      <c r="C109" s="136" t="s">
        <v>83</v>
      </c>
      <c r="D109" s="133">
        <v>0</v>
      </c>
      <c r="E109" s="133">
        <v>0</v>
      </c>
      <c r="F109" s="133" t="e">
        <v>#DIV/0!</v>
      </c>
      <c r="I109" s="239" t="s">
        <v>111</v>
      </c>
    </row>
    <row r="110" spans="3:22" x14ac:dyDescent="0.2">
      <c r="I110" s="239" t="s">
        <v>112</v>
      </c>
    </row>
    <row r="111" spans="3:22" x14ac:dyDescent="0.2">
      <c r="C111" s="136" t="s">
        <v>85</v>
      </c>
      <c r="D111" s="133">
        <v>0</v>
      </c>
      <c r="E111" s="133">
        <v>0</v>
      </c>
      <c r="F111" s="133" t="e">
        <v>#DIV/0!</v>
      </c>
      <c r="I111" s="239" t="s">
        <v>113</v>
      </c>
    </row>
    <row r="112" spans="3:22" x14ac:dyDescent="0.2">
      <c r="C112" s="136" t="s">
        <v>86</v>
      </c>
      <c r="D112" s="133">
        <v>0</v>
      </c>
      <c r="E112" s="133">
        <v>0</v>
      </c>
      <c r="F112" s="133" t="e">
        <v>#DIV/0!</v>
      </c>
      <c r="I112" s="239" t="s">
        <v>114</v>
      </c>
    </row>
    <row r="113" spans="3:9" x14ac:dyDescent="0.2">
      <c r="C113" s="136" t="s">
        <v>289</v>
      </c>
      <c r="D113" s="133">
        <v>0</v>
      </c>
      <c r="E113" s="133">
        <v>0</v>
      </c>
      <c r="F113" s="133" t="e">
        <v>#DIV/0!</v>
      </c>
      <c r="I113" s="239"/>
    </row>
    <row r="114" spans="3:9" x14ac:dyDescent="0.2">
      <c r="I114" s="239" t="s">
        <v>115</v>
      </c>
    </row>
    <row r="115" spans="3:9" x14ac:dyDescent="0.2">
      <c r="C115" s="136" t="s">
        <v>93</v>
      </c>
      <c r="D115" s="133">
        <v>0</v>
      </c>
      <c r="E115" s="133">
        <v>0</v>
      </c>
      <c r="F115" s="133" t="e">
        <v>#DIV/0!</v>
      </c>
      <c r="I115" s="239" t="s">
        <v>116</v>
      </c>
    </row>
    <row r="116" spans="3:9" x14ac:dyDescent="0.2">
      <c r="C116" s="136" t="s">
        <v>94</v>
      </c>
      <c r="D116" s="133">
        <v>0</v>
      </c>
      <c r="E116" s="133">
        <v>0</v>
      </c>
      <c r="F116" s="133" t="e">
        <v>#DIV/0!</v>
      </c>
      <c r="I116" s="239" t="s">
        <v>117</v>
      </c>
    </row>
    <row r="117" spans="3:9" x14ac:dyDescent="0.2">
      <c r="C117" s="136" t="s">
        <v>95</v>
      </c>
      <c r="D117" s="133">
        <v>0</v>
      </c>
      <c r="E117" s="133">
        <v>0</v>
      </c>
      <c r="F117" s="133" t="e">
        <v>#DIV/0!</v>
      </c>
      <c r="I117" s="239" t="s">
        <v>118</v>
      </c>
    </row>
    <row r="118" spans="3:9" x14ac:dyDescent="0.2">
      <c r="I118" s="239" t="s">
        <v>119</v>
      </c>
    </row>
    <row r="119" spans="3:9" x14ac:dyDescent="0.2">
      <c r="I119" s="239" t="s">
        <v>264</v>
      </c>
    </row>
  </sheetData>
  <mergeCells count="9">
    <mergeCell ref="C43:G43"/>
    <mergeCell ref="C48:G48"/>
    <mergeCell ref="C56:G56"/>
    <mergeCell ref="C19:G19"/>
    <mergeCell ref="C25:G25"/>
    <mergeCell ref="C30:G30"/>
    <mergeCell ref="C37:G37"/>
    <mergeCell ref="C40:G40"/>
    <mergeCell ref="C23:G23"/>
  </mergeCells>
  <conditionalFormatting sqref="F17:F18 F20:F22 F26:F29 F38:F39 F41:F42 F44:F47">
    <cfRule type="cellIs" dxfId="9" priority="18" operator="greaterThan">
      <formula>0</formula>
    </cfRule>
    <cfRule type="cellIs" dxfId="8" priority="17" operator="lessThan">
      <formula>0</formula>
    </cfRule>
  </conditionalFormatting>
  <conditionalFormatting sqref="F24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F32:F33 F35:F36">
    <cfRule type="cellIs" dxfId="5" priority="4" operator="greaterThan">
      <formula>0</formula>
    </cfRule>
    <cfRule type="cellIs" dxfId="4" priority="3" operator="lessThan">
      <formula>0</formula>
    </cfRule>
  </conditionalFormatting>
  <conditionalFormatting sqref="F49:F55 F57:F63">
    <cfRule type="cellIs" dxfId="3" priority="14" operator="greaterThan">
      <formula>0</formula>
    </cfRule>
    <cfRule type="cellIs" dxfId="2" priority="13" operator="lessThan">
      <formula>0</formula>
    </cfRule>
  </conditionalFormatting>
  <pageMargins left="0.7" right="0.7" top="0.75" bottom="0.75" header="0.3" footer="0.3"/>
  <pageSetup orientation="portrait" r:id="rId1"/>
  <ignoredErrors>
    <ignoredError sqref="D60:E6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AFB4-DF9E-445B-931F-BD8B1217EBED}">
  <dimension ref="A1:S30"/>
  <sheetViews>
    <sheetView zoomScaleNormal="100" workbookViewId="0">
      <selection activeCell="I2" sqref="I2"/>
    </sheetView>
  </sheetViews>
  <sheetFormatPr baseColWidth="10" defaultColWidth="8.83203125" defaultRowHeight="15" x14ac:dyDescent="0.2"/>
  <cols>
    <col min="2" max="2" width="12.5" bestFit="1" customWidth="1"/>
    <col min="3" max="3" width="9" style="220" bestFit="1" customWidth="1"/>
    <col min="4" max="4" width="14.83203125" style="220" bestFit="1" customWidth="1"/>
    <col min="5" max="5" width="8.1640625" style="220" bestFit="1" customWidth="1"/>
    <col min="6" max="7" width="5.5" style="220" bestFit="1" customWidth="1"/>
    <col min="8" max="8" width="12.33203125" style="220" bestFit="1" customWidth="1"/>
    <col min="9" max="9" width="13.5" bestFit="1" customWidth="1"/>
    <col min="10" max="10" width="18.1640625" bestFit="1" customWidth="1"/>
    <col min="11" max="11" width="12.1640625" bestFit="1" customWidth="1"/>
    <col min="12" max="12" width="16.33203125" bestFit="1" customWidth="1"/>
    <col min="13" max="13" width="18" bestFit="1" customWidth="1"/>
    <col min="14" max="14" width="17" bestFit="1" customWidth="1"/>
    <col min="15" max="15" width="14.1640625" bestFit="1" customWidth="1"/>
    <col min="16" max="16" width="13.83203125" bestFit="1" customWidth="1"/>
    <col min="17" max="19" width="12.1640625" bestFit="1" customWidth="1"/>
    <col min="20" max="20" width="11.33203125" bestFit="1" customWidth="1"/>
    <col min="21" max="21" width="11.5" bestFit="1" customWidth="1"/>
    <col min="22" max="23" width="6.5" bestFit="1" customWidth="1"/>
    <col min="24" max="24" width="5.5" bestFit="1" customWidth="1"/>
    <col min="25" max="25" width="11.33203125" bestFit="1" customWidth="1"/>
    <col min="26" max="26" width="11.1640625" bestFit="1" customWidth="1"/>
    <col min="27" max="28" width="6.5" bestFit="1" customWidth="1"/>
    <col min="29" max="29" width="4.5" bestFit="1" customWidth="1"/>
    <col min="30" max="30" width="11.33203125" bestFit="1" customWidth="1"/>
  </cols>
  <sheetData>
    <row r="1" spans="1:19" x14ac:dyDescent="0.2">
      <c r="I1" s="126" t="s">
        <v>18</v>
      </c>
      <c r="J1" s="126" t="s">
        <v>120</v>
      </c>
      <c r="K1" s="126" t="s">
        <v>121</v>
      </c>
      <c r="L1" s="126" t="s">
        <v>20</v>
      </c>
      <c r="M1" s="126" t="s">
        <v>21</v>
      </c>
      <c r="N1" s="126" t="s">
        <v>22</v>
      </c>
      <c r="O1" s="126" t="s">
        <v>23</v>
      </c>
      <c r="P1" s="126" t="s">
        <v>24</v>
      </c>
      <c r="Q1" s="126" t="s">
        <v>25</v>
      </c>
      <c r="R1" s="126" t="s">
        <v>26</v>
      </c>
      <c r="S1" s="126" t="s">
        <v>27</v>
      </c>
    </row>
    <row r="2" spans="1:19" x14ac:dyDescent="0.2">
      <c r="A2" s="262" t="s">
        <v>0</v>
      </c>
      <c r="B2" s="229" t="s">
        <v>122</v>
      </c>
      <c r="C2" t="s">
        <v>259</v>
      </c>
      <c r="H2" s="262" t="s">
        <v>28</v>
      </c>
      <c r="I2" s="287"/>
      <c r="J2" s="269"/>
      <c r="K2" s="269"/>
      <c r="L2" s="269"/>
      <c r="M2" s="269"/>
      <c r="N2" s="269"/>
      <c r="O2" s="269"/>
      <c r="P2" s="269"/>
      <c r="Q2" s="269"/>
      <c r="R2" s="269"/>
      <c r="S2" s="271"/>
    </row>
    <row r="3" spans="1:19" x14ac:dyDescent="0.2">
      <c r="I3" s="252"/>
      <c r="J3" s="230"/>
      <c r="K3" s="230"/>
      <c r="L3" s="230"/>
      <c r="M3" s="230"/>
      <c r="N3" s="230"/>
      <c r="O3" s="230"/>
      <c r="P3" s="230"/>
      <c r="Q3" s="230"/>
      <c r="R3" s="230"/>
      <c r="S3" s="231"/>
    </row>
    <row r="4" spans="1:19" x14ac:dyDescent="0.2">
      <c r="B4" s="229" t="s">
        <v>123</v>
      </c>
      <c r="C4" s="220" t="s">
        <v>124</v>
      </c>
      <c r="D4" s="220" t="s">
        <v>125</v>
      </c>
      <c r="E4" s="220" t="s">
        <v>126</v>
      </c>
      <c r="F4"/>
      <c r="G4"/>
      <c r="H4"/>
      <c r="I4" s="251"/>
      <c r="J4" s="232"/>
      <c r="K4" s="232"/>
      <c r="L4" s="232"/>
      <c r="M4" s="232"/>
      <c r="N4" s="232"/>
      <c r="O4" s="232"/>
      <c r="P4" s="232"/>
      <c r="Q4" s="232"/>
      <c r="R4" s="232"/>
      <c r="S4" s="233"/>
    </row>
    <row r="5" spans="1:19" x14ac:dyDescent="0.2">
      <c r="B5" s="131" t="s">
        <v>127</v>
      </c>
      <c r="C5" s="221"/>
      <c r="D5" s="222"/>
      <c r="E5" s="223"/>
      <c r="F5"/>
      <c r="G5"/>
      <c r="H5"/>
      <c r="I5" s="252"/>
      <c r="J5" s="230"/>
      <c r="K5" s="230"/>
      <c r="L5" s="230"/>
      <c r="M5" s="230"/>
      <c r="N5" s="230"/>
      <c r="O5" s="230"/>
      <c r="P5" s="230"/>
      <c r="Q5" s="230"/>
      <c r="R5" s="230"/>
      <c r="S5" s="231"/>
    </row>
    <row r="6" spans="1:19" x14ac:dyDescent="0.2">
      <c r="B6" s="224" t="s">
        <v>6</v>
      </c>
      <c r="C6" s="221">
        <v>366980</v>
      </c>
      <c r="D6" s="222">
        <v>1.9221755954002901E-2</v>
      </c>
      <c r="E6" s="223">
        <v>120.912997247935</v>
      </c>
      <c r="F6"/>
      <c r="G6"/>
      <c r="H6"/>
      <c r="I6" s="251"/>
      <c r="J6" s="232"/>
      <c r="K6" s="232"/>
      <c r="L6" s="232"/>
      <c r="M6" s="232"/>
      <c r="N6" s="232"/>
      <c r="O6" s="232"/>
      <c r="P6" s="232"/>
      <c r="Q6" s="232"/>
      <c r="R6" s="232"/>
      <c r="S6" s="233"/>
    </row>
    <row r="7" spans="1:19" x14ac:dyDescent="0.2">
      <c r="B7" s="224" t="s">
        <v>5</v>
      </c>
      <c r="C7" s="221">
        <v>366964</v>
      </c>
      <c r="D7" s="222">
        <v>1.9026389509597601E-2</v>
      </c>
      <c r="E7" s="223">
        <v>120.145462004544</v>
      </c>
      <c r="F7"/>
      <c r="G7"/>
      <c r="H7"/>
      <c r="I7" s="252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x14ac:dyDescent="0.2">
      <c r="B8" s="131" t="s">
        <v>128</v>
      </c>
      <c r="C8" s="221"/>
      <c r="D8" s="222"/>
      <c r="E8" s="223"/>
      <c r="F8"/>
      <c r="G8"/>
      <c r="H8"/>
      <c r="I8" s="251"/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19" x14ac:dyDescent="0.2">
      <c r="B9" s="224" t="s">
        <v>6</v>
      </c>
      <c r="C9" s="221">
        <v>330592</v>
      </c>
      <c r="D9" s="222">
        <v>3.6794598780369697E-2</v>
      </c>
      <c r="E9" s="223">
        <v>138.78069120909501</v>
      </c>
      <c r="F9"/>
      <c r="G9"/>
      <c r="H9"/>
      <c r="I9" s="252"/>
      <c r="J9" s="230"/>
      <c r="K9" s="230"/>
      <c r="L9" s="230"/>
      <c r="M9" s="230"/>
      <c r="N9" s="230"/>
      <c r="O9" s="230"/>
      <c r="P9" s="230"/>
      <c r="Q9" s="230"/>
      <c r="R9" s="230"/>
      <c r="S9" s="231"/>
    </row>
    <row r="10" spans="1:19" x14ac:dyDescent="0.2">
      <c r="B10" s="224" t="s">
        <v>5</v>
      </c>
      <c r="C10" s="221">
        <v>331352</v>
      </c>
      <c r="D10" s="222">
        <v>3.84334484173929E-2</v>
      </c>
      <c r="E10" s="223">
        <v>136.10541362368801</v>
      </c>
      <c r="F10"/>
      <c r="G10"/>
      <c r="H10"/>
      <c r="I10" s="251"/>
      <c r="J10" s="232"/>
      <c r="K10" s="232"/>
      <c r="L10" s="232"/>
      <c r="M10" s="232"/>
      <c r="N10" s="232"/>
      <c r="O10" s="232"/>
      <c r="P10" s="232"/>
      <c r="Q10" s="232"/>
      <c r="R10" s="232"/>
      <c r="S10" s="233"/>
    </row>
    <row r="11" spans="1:19" x14ac:dyDescent="0.2">
      <c r="B11" s="131" t="s">
        <v>129</v>
      </c>
      <c r="C11" s="221"/>
      <c r="D11" s="222"/>
      <c r="E11" s="223"/>
      <c r="F11"/>
      <c r="G11"/>
      <c r="H11"/>
      <c r="I11" s="252"/>
      <c r="J11" s="230"/>
      <c r="K11" s="230"/>
      <c r="L11" s="230"/>
      <c r="M11" s="230"/>
      <c r="N11" s="230"/>
      <c r="O11" s="230"/>
      <c r="P11" s="230"/>
      <c r="Q11" s="230"/>
      <c r="R11" s="230"/>
      <c r="S11" s="231"/>
    </row>
    <row r="12" spans="1:19" x14ac:dyDescent="0.2">
      <c r="B12" s="224" t="s">
        <v>6</v>
      </c>
      <c r="C12" s="221">
        <v>281480</v>
      </c>
      <c r="D12" s="222">
        <v>4.61595850504476E-2</v>
      </c>
      <c r="E12" s="223">
        <v>142.918041190228</v>
      </c>
      <c r="F12"/>
      <c r="G12"/>
      <c r="H12"/>
      <c r="I12" s="251"/>
      <c r="J12" s="232"/>
      <c r="K12" s="232"/>
      <c r="L12" s="232"/>
      <c r="M12" s="232"/>
      <c r="N12" s="232"/>
      <c r="O12" s="232"/>
      <c r="P12" s="232"/>
      <c r="Q12" s="232"/>
      <c r="R12" s="232"/>
      <c r="S12" s="233"/>
    </row>
    <row r="13" spans="1:19" x14ac:dyDescent="0.2">
      <c r="B13" s="224" t="s">
        <v>5</v>
      </c>
      <c r="C13" s="221">
        <v>281599</v>
      </c>
      <c r="D13" s="222">
        <v>4.6995905525232598E-2</v>
      </c>
      <c r="E13" s="223">
        <v>143.23047338792199</v>
      </c>
      <c r="F13"/>
      <c r="G13"/>
      <c r="H13"/>
      <c r="I13" s="252"/>
      <c r="J13" s="230"/>
      <c r="K13" s="230"/>
      <c r="L13" s="230"/>
      <c r="M13" s="230"/>
      <c r="N13" s="230"/>
      <c r="O13" s="230"/>
      <c r="P13" s="230"/>
      <c r="Q13" s="230"/>
      <c r="R13" s="230"/>
      <c r="S13" s="231"/>
    </row>
    <row r="14" spans="1:19" x14ac:dyDescent="0.2">
      <c r="B14" s="131" t="s">
        <v>130</v>
      </c>
      <c r="C14" s="221"/>
      <c r="D14" s="222"/>
      <c r="E14" s="223"/>
      <c r="F14"/>
      <c r="G14"/>
      <c r="H14"/>
      <c r="I14" s="251"/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19" x14ac:dyDescent="0.2">
      <c r="B15" s="224" t="s">
        <v>6</v>
      </c>
      <c r="C15" s="221">
        <v>177635</v>
      </c>
      <c r="D15" s="222">
        <v>3.6766403017423302E-2</v>
      </c>
      <c r="E15" s="223">
        <v>138.18710124101901</v>
      </c>
      <c r="F15"/>
      <c r="G15"/>
      <c r="H15"/>
      <c r="I15" s="252"/>
      <c r="J15" s="230"/>
      <c r="K15" s="230"/>
      <c r="L15" s="230"/>
      <c r="M15" s="230"/>
      <c r="N15" s="230"/>
      <c r="O15" s="230"/>
      <c r="P15" s="230"/>
      <c r="Q15" s="230"/>
      <c r="R15" s="230"/>
      <c r="S15" s="231"/>
    </row>
    <row r="16" spans="1:19" x14ac:dyDescent="0.2">
      <c r="B16" s="224" t="s">
        <v>5</v>
      </c>
      <c r="C16" s="221">
        <v>177675</v>
      </c>
      <c r="D16" s="222">
        <v>3.7332207682566398E-2</v>
      </c>
      <c r="E16" s="223">
        <v>136.76912649834199</v>
      </c>
      <c r="F16"/>
      <c r="G16"/>
      <c r="H16"/>
      <c r="I16" s="251"/>
      <c r="J16" s="232"/>
      <c r="K16" s="232"/>
      <c r="L16" s="232"/>
      <c r="M16" s="232"/>
      <c r="N16" s="232"/>
      <c r="O16" s="232"/>
      <c r="P16" s="232"/>
      <c r="Q16" s="232"/>
      <c r="R16" s="232"/>
      <c r="S16" s="233"/>
    </row>
    <row r="17" spans="2:19" x14ac:dyDescent="0.2">
      <c r="B17" s="131" t="s">
        <v>265</v>
      </c>
      <c r="C17" s="221"/>
      <c r="D17" s="222"/>
      <c r="E17" s="223"/>
      <c r="F17"/>
      <c r="G17"/>
      <c r="H17"/>
      <c r="I17" s="252"/>
      <c r="J17" s="230"/>
      <c r="K17" s="230"/>
      <c r="L17" s="230"/>
      <c r="M17" s="230"/>
      <c r="N17" s="230"/>
      <c r="O17" s="230"/>
      <c r="P17" s="230"/>
      <c r="Q17" s="230"/>
      <c r="R17" s="230"/>
      <c r="S17" s="231"/>
    </row>
    <row r="18" spans="2:19" x14ac:dyDescent="0.2">
      <c r="B18" s="224" t="s">
        <v>5</v>
      </c>
      <c r="C18" s="221">
        <v>1</v>
      </c>
      <c r="D18" s="222">
        <v>0</v>
      </c>
      <c r="E18" s="223">
        <v>0</v>
      </c>
      <c r="F18"/>
      <c r="G18"/>
      <c r="H18"/>
      <c r="I18" s="251"/>
      <c r="J18" s="232"/>
      <c r="K18" s="232"/>
      <c r="L18" s="232"/>
      <c r="M18" s="232"/>
      <c r="N18" s="232"/>
      <c r="O18" s="232"/>
      <c r="P18" s="232"/>
      <c r="Q18" s="232"/>
      <c r="R18" s="232"/>
      <c r="S18" s="233"/>
    </row>
    <row r="19" spans="2:19" x14ac:dyDescent="0.2">
      <c r="C19"/>
      <c r="D19"/>
      <c r="E19"/>
      <c r="F19"/>
      <c r="G19"/>
      <c r="H19"/>
      <c r="I19" s="252"/>
      <c r="J19" s="230"/>
      <c r="K19" s="230"/>
      <c r="L19" s="230"/>
      <c r="M19" s="230"/>
      <c r="N19" s="230"/>
      <c r="O19" s="230"/>
      <c r="P19" s="230"/>
      <c r="Q19" s="230"/>
      <c r="R19" s="230"/>
      <c r="S19" s="231"/>
    </row>
    <row r="20" spans="2:19" x14ac:dyDescent="0.2">
      <c r="I20" s="251"/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2:19" x14ac:dyDescent="0.2">
      <c r="I21" s="252"/>
      <c r="J21" s="230"/>
      <c r="K21" s="230"/>
      <c r="L21" s="230"/>
      <c r="M21" s="230"/>
      <c r="N21" s="230"/>
      <c r="O21" s="230"/>
      <c r="P21" s="230"/>
      <c r="Q21" s="230"/>
      <c r="R21" s="230"/>
      <c r="S21" s="231"/>
    </row>
    <row r="22" spans="2:19" x14ac:dyDescent="0.2">
      <c r="I22" s="251"/>
      <c r="J22" s="232"/>
      <c r="K22" s="232"/>
      <c r="L22" s="232"/>
      <c r="M22" s="232"/>
      <c r="N22" s="232"/>
      <c r="O22" s="232"/>
      <c r="P22" s="232"/>
      <c r="Q22" s="232"/>
      <c r="R22" s="232"/>
      <c r="S22" s="233"/>
    </row>
    <row r="23" spans="2:19" x14ac:dyDescent="0.2">
      <c r="I23" s="252"/>
      <c r="J23" s="230"/>
      <c r="K23" s="230"/>
      <c r="L23" s="230"/>
      <c r="M23" s="230"/>
      <c r="N23" s="230"/>
      <c r="O23" s="230"/>
      <c r="P23" s="230"/>
      <c r="Q23" s="230"/>
      <c r="R23" s="230"/>
      <c r="S23" s="231"/>
    </row>
    <row r="24" spans="2:19" x14ac:dyDescent="0.2">
      <c r="I24" s="251"/>
      <c r="J24" s="232"/>
      <c r="K24" s="232"/>
      <c r="L24" s="232"/>
      <c r="M24" s="232"/>
      <c r="N24" s="232"/>
      <c r="O24" s="232"/>
      <c r="P24" s="232"/>
      <c r="Q24" s="232"/>
      <c r="R24" s="232"/>
      <c r="S24" s="233"/>
    </row>
    <row r="25" spans="2:19" x14ac:dyDescent="0.2">
      <c r="I25" s="252"/>
      <c r="J25" s="230"/>
      <c r="K25" s="230"/>
      <c r="L25" s="230"/>
      <c r="M25" s="230"/>
      <c r="N25" s="230"/>
      <c r="O25" s="230"/>
      <c r="P25" s="230"/>
      <c r="Q25" s="230"/>
      <c r="R25" s="230"/>
      <c r="S25" s="231"/>
    </row>
    <row r="26" spans="2:19" x14ac:dyDescent="0.2">
      <c r="I26" s="251"/>
      <c r="J26" s="232"/>
      <c r="K26" s="232"/>
      <c r="L26" s="232"/>
      <c r="M26" s="232"/>
      <c r="N26" s="232"/>
      <c r="O26" s="232"/>
      <c r="P26" s="232"/>
      <c r="Q26" s="232"/>
      <c r="R26" s="232"/>
      <c r="S26" s="233"/>
    </row>
    <row r="27" spans="2:19" x14ac:dyDescent="0.2">
      <c r="I27" s="288"/>
      <c r="J27" s="266"/>
      <c r="K27" s="266"/>
      <c r="L27" s="266"/>
      <c r="M27" s="266"/>
      <c r="N27" s="266"/>
      <c r="O27" s="266"/>
      <c r="P27" s="266"/>
      <c r="Q27" s="266"/>
      <c r="R27" s="266"/>
      <c r="S27" s="267"/>
    </row>
    <row r="28" spans="2:19" x14ac:dyDescent="0.2">
      <c r="I28" s="249"/>
      <c r="S28" s="250"/>
    </row>
    <row r="29" spans="2:19" x14ac:dyDescent="0.2">
      <c r="I29" s="251"/>
      <c r="J29" s="232"/>
      <c r="K29" s="232"/>
      <c r="L29" s="232"/>
      <c r="M29" s="232"/>
      <c r="N29" s="232"/>
      <c r="O29" s="232"/>
      <c r="P29" s="232"/>
      <c r="Q29" s="232"/>
      <c r="R29" s="232"/>
      <c r="S29" s="233"/>
    </row>
    <row r="30" spans="2:19" x14ac:dyDescent="0.2">
      <c r="I30" s="225"/>
      <c r="J30" s="134"/>
      <c r="K30" s="134"/>
      <c r="L30" s="134"/>
      <c r="M30" s="134"/>
      <c r="N30" s="134"/>
      <c r="O30" s="134"/>
      <c r="P30" s="134"/>
      <c r="Q30" s="134"/>
      <c r="R30" s="134"/>
      <c r="S30" s="135"/>
    </row>
  </sheetData>
  <conditionalFormatting pivot="1" sqref="D6">
    <cfRule type="cellIs" dxfId="42" priority="16" operator="greaterThan">
      <formula>$D$7</formula>
    </cfRule>
  </conditionalFormatting>
  <conditionalFormatting pivot="1" sqref="E6">
    <cfRule type="cellIs" dxfId="41" priority="15" operator="lessThan">
      <formula>$E$7</formula>
    </cfRule>
  </conditionalFormatting>
  <conditionalFormatting pivot="1" sqref="D9">
    <cfRule type="cellIs" dxfId="40" priority="14" operator="greaterThan">
      <formula>$D$10</formula>
    </cfRule>
  </conditionalFormatting>
  <conditionalFormatting pivot="1" sqref="E9">
    <cfRule type="cellIs" dxfId="39" priority="13" operator="greaterThan">
      <formula>$E$10</formula>
    </cfRule>
  </conditionalFormatting>
  <conditionalFormatting pivot="1" sqref="D12">
    <cfRule type="cellIs" dxfId="38" priority="12" operator="lessThan">
      <formula>$D$13</formula>
    </cfRule>
  </conditionalFormatting>
  <conditionalFormatting pivot="1" sqref="E12">
    <cfRule type="cellIs" dxfId="37" priority="11" operator="greaterThan">
      <formula>$E$13</formula>
    </cfRule>
  </conditionalFormatting>
  <conditionalFormatting pivot="1" sqref="D15">
    <cfRule type="cellIs" dxfId="36" priority="10" operator="greaterThan">
      <formula>$D$16</formula>
    </cfRule>
  </conditionalFormatting>
  <conditionalFormatting pivot="1" sqref="E15">
    <cfRule type="cellIs" dxfId="35" priority="9" operator="lessThan">
      <formula>$E$16</formula>
    </cfRule>
  </conditionalFormatting>
  <conditionalFormatting pivot="1" sqref="E6">
    <cfRule type="cellIs" dxfId="34" priority="8" operator="greaterThan">
      <formula>$E$7</formula>
    </cfRule>
  </conditionalFormatting>
  <conditionalFormatting pivot="1" sqref="E9">
    <cfRule type="cellIs" dxfId="33" priority="7" operator="lessThan">
      <formula>$E$10</formula>
    </cfRule>
  </conditionalFormatting>
  <conditionalFormatting pivot="1" sqref="D9">
    <cfRule type="cellIs" dxfId="32" priority="6" operator="lessThan">
      <formula>$D$10</formula>
    </cfRule>
  </conditionalFormatting>
  <conditionalFormatting pivot="1" sqref="D15">
    <cfRule type="cellIs" dxfId="31" priority="5" operator="lessThan">
      <formula>$D$16</formula>
    </cfRule>
  </conditionalFormatting>
  <conditionalFormatting pivot="1" sqref="E15">
    <cfRule type="cellIs" dxfId="30" priority="4" operator="greaterThan">
      <formula>$E$16</formula>
    </cfRule>
  </conditionalFormatting>
  <conditionalFormatting pivot="1" sqref="D6">
    <cfRule type="cellIs" dxfId="29" priority="3" operator="lessThan">
      <formula>$D$7</formula>
    </cfRule>
  </conditionalFormatting>
  <conditionalFormatting pivot="1" sqref="D12">
    <cfRule type="cellIs" dxfId="28" priority="2" operator="greaterThan">
      <formula>$D$13</formula>
    </cfRule>
  </conditionalFormatting>
  <conditionalFormatting pivot="1" sqref="E12">
    <cfRule type="cellIs" dxfId="27" priority="1" operator="lessThan">
      <formula>$E$13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91D2-CE18-46EC-A721-605F0CE98086}">
  <dimension ref="A1:S8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14" bestFit="1" customWidth="1"/>
    <col min="3" max="3" width="12" bestFit="1" customWidth="1"/>
    <col min="4" max="4" width="11.5" bestFit="1" customWidth="1"/>
    <col min="6" max="6" width="12.33203125" bestFit="1" customWidth="1"/>
    <col min="7" max="7" width="11.6640625" bestFit="1" customWidth="1"/>
    <col min="8" max="8" width="13.5" bestFit="1" customWidth="1"/>
    <col min="9" max="9" width="18" style="226" bestFit="1" customWidth="1"/>
    <col min="10" max="10" width="14.33203125" style="227" bestFit="1" customWidth="1"/>
    <col min="11" max="11" width="13.6640625" style="227" bestFit="1" customWidth="1"/>
    <col min="12" max="12" width="12.1640625" style="227" bestFit="1" customWidth="1"/>
    <col min="13" max="14" width="12.1640625" style="228" bestFit="1" customWidth="1"/>
    <col min="17" max="17" width="14" bestFit="1" customWidth="1"/>
    <col min="18" max="18" width="12" style="220" bestFit="1" customWidth="1"/>
    <col min="19" max="19" width="11.5" style="220" bestFit="1" customWidth="1"/>
  </cols>
  <sheetData>
    <row r="1" spans="1:14" x14ac:dyDescent="0.2">
      <c r="G1" s="126" t="s">
        <v>131</v>
      </c>
      <c r="H1" s="126" t="s">
        <v>18</v>
      </c>
      <c r="I1" s="256" t="s">
        <v>21</v>
      </c>
      <c r="J1" s="257" t="s">
        <v>23</v>
      </c>
      <c r="K1" s="257" t="s">
        <v>24</v>
      </c>
      <c r="L1" s="257" t="s">
        <v>25</v>
      </c>
      <c r="M1" s="258" t="s">
        <v>26</v>
      </c>
      <c r="N1" s="258" t="s">
        <v>27</v>
      </c>
    </row>
    <row r="2" spans="1:14" x14ac:dyDescent="0.2">
      <c r="A2" s="262" t="s">
        <v>0</v>
      </c>
      <c r="B2" s="229" t="s">
        <v>4</v>
      </c>
      <c r="C2" s="220" t="s">
        <v>132</v>
      </c>
      <c r="D2" s="220" t="s">
        <v>133</v>
      </c>
      <c r="E2" s="220"/>
      <c r="F2" s="262" t="s">
        <v>28</v>
      </c>
      <c r="G2" s="253"/>
      <c r="H2" s="254"/>
      <c r="I2" s="254"/>
      <c r="J2" s="254"/>
      <c r="K2" s="254"/>
      <c r="L2" s="254"/>
      <c r="M2" s="254"/>
      <c r="N2" s="255"/>
    </row>
    <row r="3" spans="1:14" x14ac:dyDescent="0.2">
      <c r="B3" s="131" t="s">
        <v>134</v>
      </c>
      <c r="C3" s="222"/>
      <c r="D3" s="223"/>
      <c r="E3" s="223"/>
      <c r="F3" s="223"/>
      <c r="G3" s="252"/>
      <c r="H3" s="230"/>
      <c r="I3" s="230"/>
      <c r="J3" s="230"/>
      <c r="K3" s="230"/>
      <c r="L3" s="230"/>
      <c r="M3" s="230"/>
      <c r="N3" s="231"/>
    </row>
    <row r="4" spans="1:14" x14ac:dyDescent="0.2">
      <c r="B4" s="224" t="s">
        <v>6</v>
      </c>
      <c r="C4" s="222">
        <v>0.10907773147309295</v>
      </c>
      <c r="D4" s="223">
        <v>97.495205729166642</v>
      </c>
      <c r="E4" s="223"/>
      <c r="F4" s="223"/>
      <c r="G4" s="251"/>
      <c r="H4" s="232"/>
      <c r="I4" s="232"/>
      <c r="J4" s="232"/>
      <c r="K4" s="232"/>
      <c r="L4" s="232"/>
      <c r="M4" s="232"/>
      <c r="N4" s="233"/>
    </row>
    <row r="5" spans="1:14" x14ac:dyDescent="0.2">
      <c r="B5" s="224" t="s">
        <v>5</v>
      </c>
      <c r="C5" s="222">
        <v>0.14142054720057981</v>
      </c>
      <c r="D5" s="223">
        <v>95.978369162342446</v>
      </c>
      <c r="E5" s="223"/>
      <c r="F5" s="223"/>
      <c r="G5" s="252"/>
      <c r="H5" s="230"/>
      <c r="I5" s="230"/>
      <c r="J5" s="230"/>
      <c r="K5" s="230"/>
      <c r="L5" s="230"/>
      <c r="M5" s="230"/>
      <c r="N5" s="231"/>
    </row>
    <row r="6" spans="1:14" x14ac:dyDescent="0.2">
      <c r="B6" s="131" t="s">
        <v>135</v>
      </c>
      <c r="C6" s="222"/>
      <c r="D6" s="223"/>
      <c r="E6" s="223"/>
      <c r="F6" s="223"/>
      <c r="G6" s="225"/>
      <c r="H6" s="134"/>
      <c r="I6" s="134"/>
      <c r="J6" s="134"/>
      <c r="K6" s="134"/>
      <c r="L6" s="134"/>
      <c r="M6" s="134"/>
      <c r="N6" s="135"/>
    </row>
    <row r="7" spans="1:14" x14ac:dyDescent="0.2">
      <c r="B7" s="224" t="s">
        <v>6</v>
      </c>
      <c r="C7" s="222">
        <v>0.33574922993295886</v>
      </c>
      <c r="D7" s="223">
        <v>113.45434170935999</v>
      </c>
      <c r="E7" s="223"/>
      <c r="F7" s="223"/>
    </row>
    <row r="8" spans="1:14" x14ac:dyDescent="0.2">
      <c r="B8" s="224" t="s">
        <v>5</v>
      </c>
      <c r="C8" s="222">
        <v>0.41375249139336834</v>
      </c>
      <c r="D8" s="223">
        <v>112.37752011794348</v>
      </c>
      <c r="E8" s="223"/>
      <c r="F8" s="223"/>
    </row>
  </sheetData>
  <conditionalFormatting pivot="1" sqref="D4">
    <cfRule type="cellIs" dxfId="20" priority="4" operator="greaterThan">
      <formula>$D$5</formula>
    </cfRule>
  </conditionalFormatting>
  <conditionalFormatting pivot="1" sqref="D4">
    <cfRule type="cellIs" dxfId="19" priority="3" operator="lessThan">
      <formula>$D$5</formula>
    </cfRule>
  </conditionalFormatting>
  <conditionalFormatting pivot="1" sqref="D7">
    <cfRule type="cellIs" dxfId="18" priority="2" operator="greaterThan">
      <formula>$D$8</formula>
    </cfRule>
  </conditionalFormatting>
  <conditionalFormatting pivot="1" sqref="D7">
    <cfRule type="cellIs" dxfId="17" priority="1" operator="lessThan">
      <formula>$D$8</formula>
    </cfRule>
  </conditionalFormatting>
  <pageMargins left="0.7" right="0.7" top="0.75" bottom="0.75" header="0.3" footer="0.3"/>
  <pageSetup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2FEC-EF77-4D3B-8F95-3F2539E2D2A3}">
  <sheetPr>
    <tabColor rgb="FFFFC000"/>
  </sheetPr>
  <dimension ref="B1:P51"/>
  <sheetViews>
    <sheetView tabSelected="1" workbookViewId="0">
      <selection activeCell="K36" sqref="K36"/>
    </sheetView>
  </sheetViews>
  <sheetFormatPr baseColWidth="10" defaultColWidth="8.83203125" defaultRowHeight="15" x14ac:dyDescent="0.2"/>
  <cols>
    <col min="2" max="2" width="2.6640625" customWidth="1"/>
    <col min="3" max="3" width="19.5" bestFit="1" customWidth="1"/>
    <col min="4" max="4" width="47.1640625" bestFit="1" customWidth="1"/>
    <col min="5" max="5" width="6.83203125" customWidth="1"/>
    <col min="6" max="6" width="12" customWidth="1"/>
    <col min="7" max="7" width="10.6640625" bestFit="1" customWidth="1"/>
    <col min="8" max="8" width="2.6640625" customWidth="1"/>
    <col min="10" max="10" width="2.6640625" customWidth="1"/>
    <col min="11" max="11" width="19.5" bestFit="1" customWidth="1"/>
    <col min="12" max="12" width="48.5" bestFit="1" customWidth="1"/>
    <col min="14" max="14" width="9.33203125" bestFit="1" customWidth="1"/>
    <col min="15" max="15" width="10.6640625" bestFit="1" customWidth="1"/>
    <col min="16" max="16" width="2.6640625" customWidth="1"/>
  </cols>
  <sheetData>
    <row r="1" spans="2:16" ht="12" customHeight="1" x14ac:dyDescent="0.2"/>
    <row r="2" spans="2:16" ht="16" thickBot="1" x14ac:dyDescent="0.25">
      <c r="B2" s="300" t="s">
        <v>136</v>
      </c>
      <c r="C2" s="301"/>
      <c r="D2" s="301"/>
      <c r="E2" s="301"/>
      <c r="F2" s="301"/>
      <c r="G2" s="301"/>
      <c r="H2" s="301"/>
      <c r="J2" s="300" t="s">
        <v>137</v>
      </c>
      <c r="K2" s="301"/>
      <c r="L2" s="301"/>
      <c r="M2" s="301"/>
      <c r="N2" s="301"/>
      <c r="O2" s="301"/>
      <c r="P2" s="302"/>
    </row>
    <row r="3" spans="2:16" ht="16" thickBot="1" x14ac:dyDescent="0.25">
      <c r="B3" s="20"/>
      <c r="C3" s="1"/>
      <c r="D3" s="1"/>
      <c r="E3" s="1"/>
      <c r="F3" s="1"/>
      <c r="G3" s="23"/>
      <c r="H3" s="22"/>
      <c r="J3" s="50"/>
      <c r="K3" s="52"/>
      <c r="L3" s="44"/>
      <c r="M3" s="52"/>
      <c r="N3" s="44"/>
      <c r="O3" s="25"/>
      <c r="P3" s="88"/>
    </row>
    <row r="4" spans="2:16" ht="16" thickBot="1" x14ac:dyDescent="0.25">
      <c r="B4" s="20"/>
      <c r="C4" s="8" t="s">
        <v>302</v>
      </c>
      <c r="D4" s="10"/>
      <c r="E4" s="1"/>
      <c r="F4" s="9" t="s">
        <v>139</v>
      </c>
      <c r="G4" s="10" t="s">
        <v>140</v>
      </c>
      <c r="H4" s="22"/>
      <c r="J4" s="50"/>
      <c r="K4" s="8" t="s">
        <v>302</v>
      </c>
      <c r="L4" s="10"/>
      <c r="M4" s="1"/>
      <c r="N4" s="9" t="s">
        <v>139</v>
      </c>
      <c r="O4" s="10" t="s">
        <v>140</v>
      </c>
      <c r="P4" s="88"/>
    </row>
    <row r="5" spans="2:16" x14ac:dyDescent="0.2">
      <c r="B5" s="20"/>
      <c r="C5" s="1"/>
      <c r="D5" s="1" t="s">
        <v>297</v>
      </c>
      <c r="E5" s="12"/>
      <c r="F5" s="21" t="s">
        <v>172</v>
      </c>
      <c r="G5" s="25">
        <v>0.1</v>
      </c>
      <c r="H5" s="22"/>
      <c r="J5" s="50"/>
      <c r="K5" s="1"/>
      <c r="L5" s="1" t="s">
        <v>297</v>
      </c>
      <c r="M5" s="12"/>
      <c r="N5" s="21" t="s">
        <v>172</v>
      </c>
      <c r="O5" s="25">
        <v>0.1</v>
      </c>
      <c r="P5" s="88"/>
    </row>
    <row r="6" spans="2:16" x14ac:dyDescent="0.2">
      <c r="B6" s="20"/>
      <c r="C6" s="1"/>
      <c r="D6" t="s">
        <v>298</v>
      </c>
      <c r="F6" s="21" t="s">
        <v>296</v>
      </c>
      <c r="G6" s="25">
        <f>1-G5</f>
        <v>0.9</v>
      </c>
      <c r="H6" s="22"/>
      <c r="J6" s="50"/>
      <c r="K6" s="1"/>
      <c r="L6" t="s">
        <v>298</v>
      </c>
      <c r="N6" s="21" t="s">
        <v>296</v>
      </c>
      <c r="O6" s="25">
        <f>1-O5</f>
        <v>0.9</v>
      </c>
      <c r="P6" s="88"/>
    </row>
    <row r="7" spans="2:16" ht="16" thickBot="1" x14ac:dyDescent="0.25">
      <c r="B7" s="20"/>
      <c r="C7" s="1"/>
      <c r="D7" s="21"/>
      <c r="E7" s="21"/>
      <c r="F7" s="21"/>
      <c r="G7" s="2"/>
      <c r="H7" s="27"/>
      <c r="J7" s="34"/>
      <c r="K7" s="1"/>
      <c r="L7" s="21"/>
      <c r="M7" s="21"/>
      <c r="N7" s="21"/>
      <c r="O7" s="2"/>
      <c r="P7" s="88"/>
    </row>
    <row r="8" spans="2:16" ht="16" thickBot="1" x14ac:dyDescent="0.25">
      <c r="B8" s="7"/>
      <c r="C8" s="8" t="s">
        <v>138</v>
      </c>
      <c r="D8" s="10"/>
      <c r="E8" s="12"/>
      <c r="F8" s="52"/>
      <c r="G8" s="12"/>
      <c r="H8" s="14"/>
      <c r="J8" s="50"/>
      <c r="K8" s="8" t="s">
        <v>138</v>
      </c>
      <c r="L8" s="10"/>
      <c r="M8" s="52"/>
      <c r="N8" s="92" t="s">
        <v>139</v>
      </c>
      <c r="O8" s="93" t="s">
        <v>140</v>
      </c>
      <c r="P8" s="88"/>
    </row>
    <row r="9" spans="2:16" x14ac:dyDescent="0.2">
      <c r="B9" s="7"/>
      <c r="C9" s="12"/>
      <c r="D9" s="1" t="s">
        <v>141</v>
      </c>
      <c r="E9" s="12"/>
      <c r="F9" s="1" t="s">
        <v>142</v>
      </c>
      <c r="G9" s="70">
        <f>AB!G68</f>
        <v>139.399408381265</v>
      </c>
      <c r="H9" s="14"/>
      <c r="J9" s="50"/>
      <c r="K9" s="52"/>
      <c r="L9" s="44" t="s">
        <v>143</v>
      </c>
      <c r="M9" s="52"/>
      <c r="N9" s="44" t="s">
        <v>144</v>
      </c>
      <c r="O9" s="85">
        <f>AB!F68</f>
        <v>5.3836217574406301E-3</v>
      </c>
      <c r="P9" s="88"/>
    </row>
    <row r="10" spans="2:16" x14ac:dyDescent="0.2">
      <c r="B10" s="7"/>
      <c r="C10" s="12"/>
      <c r="D10" s="16" t="s">
        <v>145</v>
      </c>
      <c r="E10" s="12"/>
      <c r="F10" s="1"/>
      <c r="G10" s="17"/>
      <c r="H10" s="18"/>
      <c r="J10" s="50"/>
      <c r="K10" s="52"/>
      <c r="L10" s="16" t="s">
        <v>146</v>
      </c>
      <c r="M10" s="52"/>
      <c r="N10" s="44"/>
      <c r="O10" s="89"/>
      <c r="P10" s="88"/>
    </row>
    <row r="11" spans="2:16" x14ac:dyDescent="0.2">
      <c r="B11" s="7"/>
      <c r="C11" s="12"/>
      <c r="D11" s="1" t="s">
        <v>147</v>
      </c>
      <c r="E11" s="12"/>
      <c r="F11" s="1" t="s">
        <v>148</v>
      </c>
      <c r="G11" s="19">
        <f>AB!G67</f>
        <v>138.35738294314299</v>
      </c>
      <c r="H11" s="14"/>
      <c r="J11" s="50"/>
      <c r="K11" s="52"/>
      <c r="L11" s="44" t="s">
        <v>149</v>
      </c>
      <c r="M11" s="52"/>
      <c r="N11" s="44" t="s">
        <v>150</v>
      </c>
      <c r="O11" s="85">
        <f>AB!F67</f>
        <v>5.3105282554736996E-3</v>
      </c>
      <c r="P11" s="88"/>
    </row>
    <row r="12" spans="2:16" x14ac:dyDescent="0.2">
      <c r="B12" s="7"/>
      <c r="C12" s="12"/>
      <c r="D12" s="16" t="s">
        <v>151</v>
      </c>
      <c r="E12" s="12"/>
      <c r="F12" s="1"/>
      <c r="G12" s="17"/>
      <c r="H12" s="14"/>
      <c r="J12" s="50"/>
      <c r="K12" s="52"/>
      <c r="L12" s="16" t="s">
        <v>152</v>
      </c>
      <c r="M12" s="52"/>
      <c r="N12" s="44"/>
      <c r="O12" s="56"/>
      <c r="P12" s="88"/>
    </row>
    <row r="13" spans="2:16" x14ac:dyDescent="0.2">
      <c r="B13" s="20"/>
      <c r="C13" s="12"/>
      <c r="D13" s="1" t="s">
        <v>153</v>
      </c>
      <c r="E13" s="1"/>
      <c r="F13" s="1" t="s">
        <v>154</v>
      </c>
      <c r="G13" s="71">
        <f>AB!H68</f>
        <v>83.415720545307906</v>
      </c>
      <c r="H13" s="14"/>
      <c r="J13" s="50"/>
      <c r="K13" s="52"/>
      <c r="L13" s="1" t="s">
        <v>155</v>
      </c>
      <c r="M13" s="52"/>
      <c r="N13" s="44" t="s">
        <v>156</v>
      </c>
      <c r="O13" s="86">
        <f>ABS(O11-O9)</f>
        <v>7.3093501966930464E-5</v>
      </c>
      <c r="P13" s="88"/>
    </row>
    <row r="14" spans="2:16" x14ac:dyDescent="0.2">
      <c r="B14" s="7"/>
      <c r="C14" s="12"/>
      <c r="D14" s="16" t="s">
        <v>157</v>
      </c>
      <c r="E14" s="12"/>
      <c r="F14" s="1"/>
      <c r="G14" s="17"/>
      <c r="H14" s="14"/>
      <c r="J14" s="50"/>
      <c r="K14" s="52"/>
      <c r="L14" s="16" t="s">
        <v>158</v>
      </c>
      <c r="M14" s="52"/>
      <c r="N14" s="44"/>
      <c r="O14" s="56"/>
      <c r="P14" s="88"/>
    </row>
    <row r="15" spans="2:16" x14ac:dyDescent="0.2">
      <c r="B15" s="20"/>
      <c r="C15" s="12"/>
      <c r="D15" s="1" t="s">
        <v>159</v>
      </c>
      <c r="E15" s="1"/>
      <c r="F15" s="1" t="s">
        <v>160</v>
      </c>
      <c r="G15" s="71">
        <f>AB!H67</f>
        <v>83.368005260128399</v>
      </c>
      <c r="H15" s="14"/>
      <c r="J15" s="58"/>
      <c r="K15" s="52"/>
      <c r="L15" s="59" t="s">
        <v>161</v>
      </c>
      <c r="M15" s="59"/>
      <c r="N15" s="59" t="s">
        <v>162</v>
      </c>
      <c r="O15" s="81">
        <f>AB!D68</f>
        <v>452112</v>
      </c>
      <c r="P15" s="88"/>
    </row>
    <row r="16" spans="2:16" x14ac:dyDescent="0.2">
      <c r="B16" s="72"/>
      <c r="C16" s="73"/>
      <c r="D16" s="74" t="s">
        <v>163</v>
      </c>
      <c r="E16" s="73"/>
      <c r="F16" s="75"/>
      <c r="G16" s="76"/>
      <c r="H16" s="77"/>
      <c r="J16" s="50"/>
      <c r="K16" s="52"/>
      <c r="L16" s="16" t="s">
        <v>164</v>
      </c>
      <c r="M16" s="52"/>
      <c r="N16" s="44"/>
      <c r="O16" s="56"/>
      <c r="P16" s="88"/>
    </row>
    <row r="17" spans="2:16" x14ac:dyDescent="0.2">
      <c r="B17" s="78"/>
      <c r="C17" s="73"/>
      <c r="D17" s="79" t="s">
        <v>161</v>
      </c>
      <c r="E17" s="79"/>
      <c r="F17" s="79" t="s">
        <v>162</v>
      </c>
      <c r="G17" s="80">
        <f>AB!E68</f>
        <v>2434</v>
      </c>
      <c r="H17" s="77"/>
      <c r="J17" s="58"/>
      <c r="K17" s="52"/>
      <c r="L17" s="59" t="s">
        <v>165</v>
      </c>
      <c r="M17" s="59"/>
      <c r="N17" s="59" t="s">
        <v>166</v>
      </c>
      <c r="O17" s="81">
        <f>AB!D67</f>
        <v>450426</v>
      </c>
      <c r="P17" s="88"/>
    </row>
    <row r="18" spans="2:16" ht="12" customHeight="1" x14ac:dyDescent="0.2">
      <c r="B18" s="7"/>
      <c r="C18" s="12"/>
      <c r="D18" s="16" t="s">
        <v>164</v>
      </c>
      <c r="E18" s="12"/>
      <c r="F18" s="1"/>
      <c r="G18" s="17"/>
      <c r="H18" s="14"/>
      <c r="J18" s="50"/>
      <c r="K18" s="52"/>
      <c r="L18" s="16" t="s">
        <v>167</v>
      </c>
      <c r="M18" s="52"/>
      <c r="N18" s="44"/>
      <c r="O18" s="56"/>
      <c r="P18" s="88"/>
    </row>
    <row r="19" spans="2:16" ht="16" customHeight="1" thickBot="1" x14ac:dyDescent="0.25">
      <c r="B19" s="20"/>
      <c r="C19" s="12"/>
      <c r="D19" s="21" t="s">
        <v>165</v>
      </c>
      <c r="E19" s="21"/>
      <c r="F19" s="21" t="s">
        <v>166</v>
      </c>
      <c r="G19" s="81">
        <f>AB!E67</f>
        <v>2392</v>
      </c>
      <c r="H19" s="14"/>
      <c r="J19" s="58"/>
      <c r="K19" s="44"/>
      <c r="L19" s="44"/>
      <c r="M19" s="44"/>
      <c r="N19" s="44"/>
      <c r="O19" s="90"/>
      <c r="P19" s="88"/>
    </row>
    <row r="20" spans="2:16" ht="12" customHeight="1" thickBot="1" x14ac:dyDescent="0.25">
      <c r="B20" s="7"/>
      <c r="C20" s="12"/>
      <c r="D20" s="16" t="s">
        <v>167</v>
      </c>
      <c r="E20" s="12"/>
      <c r="F20" s="1"/>
      <c r="G20" s="82"/>
      <c r="H20" s="22"/>
      <c r="J20" s="58"/>
      <c r="K20" s="8" t="s">
        <v>168</v>
      </c>
      <c r="L20" s="62"/>
      <c r="M20" s="44"/>
      <c r="N20" s="44"/>
      <c r="O20" s="90"/>
      <c r="P20" s="88"/>
    </row>
    <row r="21" spans="2:16" ht="16" thickBot="1" x14ac:dyDescent="0.25">
      <c r="B21" s="20"/>
      <c r="C21" s="1"/>
      <c r="D21" s="1"/>
      <c r="E21" s="1"/>
      <c r="F21" s="1"/>
      <c r="G21" s="23"/>
      <c r="H21" s="22"/>
      <c r="J21" s="50"/>
      <c r="K21" s="52"/>
      <c r="L21" s="44" t="s">
        <v>169</v>
      </c>
      <c r="M21" s="52"/>
      <c r="N21" s="44" t="s">
        <v>170</v>
      </c>
      <c r="O21" s="25">
        <f>NORMSDIST(O27)</f>
        <v>0.68299510265543029</v>
      </c>
      <c r="P21" s="88"/>
    </row>
    <row r="22" spans="2:16" ht="16" thickBot="1" x14ac:dyDescent="0.25">
      <c r="B22" s="20"/>
      <c r="C22" s="8" t="s">
        <v>168</v>
      </c>
      <c r="D22" s="10"/>
      <c r="E22" s="1"/>
      <c r="F22" s="1"/>
      <c r="G22" s="23"/>
      <c r="H22" s="24"/>
      <c r="J22" s="50"/>
      <c r="K22" s="52"/>
      <c r="L22" s="44" t="s">
        <v>171</v>
      </c>
      <c r="M22" s="52"/>
      <c r="N22" s="59" t="s">
        <v>172</v>
      </c>
      <c r="O22" s="25">
        <f>1-O21</f>
        <v>0.31700489734456971</v>
      </c>
      <c r="P22" s="88"/>
    </row>
    <row r="23" spans="2:16" x14ac:dyDescent="0.2">
      <c r="B23" s="7"/>
      <c r="C23" s="12"/>
      <c r="D23" s="1" t="s">
        <v>294</v>
      </c>
      <c r="E23" s="12"/>
      <c r="F23" t="s">
        <v>299</v>
      </c>
      <c r="G23" s="25">
        <f>1-G24</f>
        <v>0.33213943268966806</v>
      </c>
      <c r="H23" s="24"/>
      <c r="J23" s="58"/>
      <c r="K23" s="44"/>
      <c r="L23" s="59"/>
      <c r="M23" s="59"/>
      <c r="N23" s="59"/>
      <c r="O23" s="64"/>
      <c r="P23" s="88"/>
    </row>
    <row r="24" spans="2:16" x14ac:dyDescent="0.2">
      <c r="B24" s="7"/>
      <c r="C24" s="12"/>
      <c r="D24" s="1" t="s">
        <v>169</v>
      </c>
      <c r="E24" s="12"/>
      <c r="F24" s="1" t="s">
        <v>303</v>
      </c>
      <c r="G24" s="25">
        <f>NORMSDIST(G30)</f>
        <v>0.66786056731033194</v>
      </c>
      <c r="H24" s="14"/>
      <c r="J24" s="28"/>
      <c r="K24" s="29" t="s">
        <v>174</v>
      </c>
      <c r="L24" s="30"/>
      <c r="M24" s="31"/>
      <c r="N24" s="31"/>
      <c r="O24" s="32"/>
      <c r="P24" s="88"/>
    </row>
    <row r="25" spans="2:16" x14ac:dyDescent="0.2">
      <c r="B25" s="20"/>
      <c r="C25" s="1"/>
      <c r="E25" s="12"/>
      <c r="F25" s="12"/>
      <c r="G25" s="12"/>
      <c r="H25" s="27"/>
      <c r="J25" s="34"/>
      <c r="K25" s="35"/>
      <c r="L25" s="67" t="s">
        <v>175</v>
      </c>
      <c r="M25" s="36"/>
      <c r="N25" s="36" t="s">
        <v>176</v>
      </c>
      <c r="O25" s="37">
        <f>ABS(O11-O9)</f>
        <v>7.3093501966930464E-5</v>
      </c>
      <c r="P25" s="88"/>
    </row>
    <row r="26" spans="2:16" x14ac:dyDescent="0.2">
      <c r="B26" s="28"/>
      <c r="C26" s="29" t="s">
        <v>174</v>
      </c>
      <c r="D26" s="65"/>
      <c r="E26" s="31"/>
      <c r="F26" s="31"/>
      <c r="G26" s="83"/>
      <c r="H26" s="33"/>
      <c r="J26" s="34"/>
      <c r="K26" s="35"/>
      <c r="L26" s="67" t="s">
        <v>177</v>
      </c>
      <c r="M26" s="36"/>
      <c r="N26" s="36" t="s">
        <v>178</v>
      </c>
      <c r="O26" s="68">
        <f>SQRT(((O9*(1-O9))/O15)+(O11*(1-O11))/O17)</f>
        <v>1.5352853763812174E-4</v>
      </c>
      <c r="P26" s="88"/>
    </row>
    <row r="27" spans="2:16" x14ac:dyDescent="0.2">
      <c r="B27" s="34"/>
      <c r="C27" s="35"/>
      <c r="D27" s="36" t="s">
        <v>179</v>
      </c>
      <c r="E27" s="36"/>
      <c r="F27" s="36" t="s">
        <v>156</v>
      </c>
      <c r="G27" s="37">
        <f>ABS(G9-G11)</f>
        <v>1.0420254381220104</v>
      </c>
      <c r="H27" s="84"/>
      <c r="J27" s="34"/>
      <c r="K27" s="36"/>
      <c r="L27" s="36" t="s">
        <v>180</v>
      </c>
      <c r="M27" s="36"/>
      <c r="N27" s="36" t="s">
        <v>181</v>
      </c>
      <c r="O27" s="37">
        <f>O25/O26</f>
        <v>0.47609065448937787</v>
      </c>
      <c r="P27" s="88"/>
    </row>
    <row r="28" spans="2:16" ht="16" thickBot="1" x14ac:dyDescent="0.25">
      <c r="B28" s="34"/>
      <c r="C28" s="35"/>
      <c r="D28" s="36" t="s">
        <v>177</v>
      </c>
      <c r="E28" s="36"/>
      <c r="F28" s="36" t="s">
        <v>178</v>
      </c>
      <c r="G28" s="37">
        <f>SQRT((($G$13^2)/G17)+((G15^2)/G19))</f>
        <v>2.4009073235381515</v>
      </c>
      <c r="H28" s="84"/>
      <c r="J28" s="40"/>
      <c r="K28" s="41"/>
      <c r="L28" s="41"/>
      <c r="M28" s="41"/>
      <c r="N28" s="41"/>
      <c r="O28" s="42"/>
      <c r="P28" s="91"/>
    </row>
    <row r="29" spans="2:16" x14ac:dyDescent="0.2">
      <c r="B29" s="34"/>
      <c r="C29" s="35"/>
      <c r="D29" s="36" t="s">
        <v>307</v>
      </c>
      <c r="E29" s="36"/>
      <c r="F29" s="36"/>
      <c r="G29" s="37"/>
      <c r="H29" s="84"/>
      <c r="J29" s="36"/>
      <c r="K29" s="36"/>
      <c r="L29" s="36"/>
      <c r="M29" s="36"/>
      <c r="N29" s="36"/>
      <c r="O29" s="292"/>
    </row>
    <row r="30" spans="2:16" x14ac:dyDescent="0.2">
      <c r="B30" s="34"/>
      <c r="C30" s="36"/>
      <c r="D30" s="36" t="s">
        <v>180</v>
      </c>
      <c r="E30" s="36"/>
      <c r="F30" s="36" t="s">
        <v>182</v>
      </c>
      <c r="G30" s="37">
        <f>G27/G28</f>
        <v>0.43401318655915716</v>
      </c>
      <c r="H30" s="39"/>
    </row>
    <row r="31" spans="2:16" ht="16" thickBot="1" x14ac:dyDescent="0.25">
      <c r="B31" s="40"/>
      <c r="C31" s="41"/>
      <c r="D31" s="41"/>
      <c r="E31" s="41"/>
      <c r="F31" s="41"/>
      <c r="G31" s="42"/>
      <c r="H31" s="43"/>
    </row>
    <row r="40" spans="4:6" x14ac:dyDescent="0.2">
      <c r="D40" t="s">
        <v>306</v>
      </c>
    </row>
    <row r="41" spans="4:6" x14ac:dyDescent="0.2">
      <c r="D41" t="s">
        <v>305</v>
      </c>
    </row>
    <row r="42" spans="4:6" x14ac:dyDescent="0.2">
      <c r="D42" t="s">
        <v>304</v>
      </c>
    </row>
    <row r="46" spans="4:6" x14ac:dyDescent="0.2">
      <c r="E46" s="1"/>
      <c r="F46" s="290"/>
    </row>
    <row r="50" spans="4:5" x14ac:dyDescent="0.2">
      <c r="D50" t="s">
        <v>300</v>
      </c>
      <c r="E50" s="291">
        <f>1-_xlfn.NORM.S.DIST(G30, TRUE)</f>
        <v>0.33213943268966806</v>
      </c>
    </row>
    <row r="51" spans="4:5" x14ac:dyDescent="0.2">
      <c r="D51" t="s">
        <v>301</v>
      </c>
      <c r="E51" s="291">
        <f>1-E50</f>
        <v>0.66786056731033194</v>
      </c>
    </row>
  </sheetData>
  <mergeCells count="2">
    <mergeCell ref="B2:H2"/>
    <mergeCell ref="J2:P2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BF65-EEE7-4CF3-AF72-9E747A53AF28}">
  <sheetPr>
    <tabColor rgb="FFFFC000"/>
  </sheetPr>
  <dimension ref="B1:P26"/>
  <sheetViews>
    <sheetView workbookViewId="0">
      <selection activeCell="O17" sqref="O17"/>
    </sheetView>
  </sheetViews>
  <sheetFormatPr baseColWidth="10" defaultColWidth="8.83203125" defaultRowHeight="15" x14ac:dyDescent="0.2"/>
  <cols>
    <col min="2" max="2" width="2.6640625" customWidth="1"/>
    <col min="3" max="3" width="19.5" bestFit="1" customWidth="1"/>
    <col min="4" max="4" width="47.1640625" bestFit="1" customWidth="1"/>
    <col min="7" max="7" width="10.6640625" bestFit="1" customWidth="1"/>
    <col min="8" max="8" width="2.6640625" customWidth="1"/>
    <col min="10" max="10" width="2.6640625" customWidth="1"/>
    <col min="11" max="11" width="19.5" bestFit="1" customWidth="1"/>
    <col min="12" max="12" width="48.5" bestFit="1" customWidth="1"/>
    <col min="14" max="14" width="9.33203125" bestFit="1" customWidth="1"/>
    <col min="15" max="15" width="10.6640625" bestFit="1" customWidth="1"/>
    <col min="16" max="16" width="2.6640625" customWidth="1"/>
  </cols>
  <sheetData>
    <row r="1" spans="2:16" ht="12" customHeight="1" x14ac:dyDescent="0.2"/>
    <row r="2" spans="2:16" ht="16" thickBot="1" x14ac:dyDescent="0.25">
      <c r="B2" s="300" t="s">
        <v>136</v>
      </c>
      <c r="C2" s="301"/>
      <c r="D2" s="301"/>
      <c r="E2" s="301"/>
      <c r="F2" s="301"/>
      <c r="G2" s="301"/>
      <c r="H2" s="301"/>
      <c r="J2" s="300" t="s">
        <v>137</v>
      </c>
      <c r="K2" s="301"/>
      <c r="L2" s="301"/>
      <c r="M2" s="301"/>
      <c r="N2" s="301"/>
      <c r="O2" s="301"/>
      <c r="P2" s="302"/>
    </row>
    <row r="3" spans="2:16" ht="16" thickBot="1" x14ac:dyDescent="0.25">
      <c r="B3" s="3"/>
      <c r="C3" s="4"/>
      <c r="D3" s="4"/>
      <c r="E3" s="4"/>
      <c r="F3" s="4"/>
      <c r="G3" s="5"/>
      <c r="H3" s="6"/>
      <c r="J3" s="46"/>
      <c r="K3" s="47"/>
      <c r="L3" s="47"/>
      <c r="M3" s="47"/>
      <c r="N3" s="47"/>
      <c r="O3" s="48"/>
      <c r="P3" s="87"/>
    </row>
    <row r="4" spans="2:16" ht="16" thickBot="1" x14ac:dyDescent="0.25">
      <c r="B4" s="7"/>
      <c r="C4" s="8" t="s">
        <v>138</v>
      </c>
      <c r="D4" s="10"/>
      <c r="E4" s="12"/>
      <c r="F4" s="9" t="s">
        <v>139</v>
      </c>
      <c r="G4" s="10" t="s">
        <v>140</v>
      </c>
      <c r="H4" s="14"/>
      <c r="J4" s="50"/>
      <c r="K4" s="8" t="s">
        <v>138</v>
      </c>
      <c r="L4" s="10"/>
      <c r="M4" s="52"/>
      <c r="N4" s="92" t="s">
        <v>139</v>
      </c>
      <c r="O4" s="93" t="s">
        <v>140</v>
      </c>
      <c r="P4" s="88"/>
    </row>
    <row r="5" spans="2:16" x14ac:dyDescent="0.2">
      <c r="B5" s="7"/>
      <c r="C5" s="12"/>
      <c r="D5" s="1" t="s">
        <v>141</v>
      </c>
      <c r="E5" s="12"/>
      <c r="F5" s="1" t="s">
        <v>142</v>
      </c>
      <c r="G5" s="70">
        <f>AA!G34</f>
        <v>134.499040826363</v>
      </c>
      <c r="H5" s="14"/>
      <c r="J5" s="50"/>
      <c r="K5" s="52"/>
      <c r="L5" s="44" t="s">
        <v>143</v>
      </c>
      <c r="M5" s="52"/>
      <c r="N5" s="44" t="s">
        <v>144</v>
      </c>
      <c r="O5" s="85">
        <f>AA!F34</f>
        <v>2.79800162402455E-2</v>
      </c>
      <c r="P5" s="88"/>
    </row>
    <row r="6" spans="2:16" x14ac:dyDescent="0.2">
      <c r="B6" s="7"/>
      <c r="C6" s="12"/>
      <c r="D6" s="16" t="s">
        <v>145</v>
      </c>
      <c r="E6" s="12"/>
      <c r="F6" s="1"/>
      <c r="G6" s="17"/>
      <c r="H6" s="18"/>
      <c r="J6" s="50"/>
      <c r="K6" s="52"/>
      <c r="L6" s="16" t="s">
        <v>146</v>
      </c>
      <c r="M6" s="52"/>
      <c r="N6" s="44"/>
      <c r="O6" s="89"/>
      <c r="P6" s="88"/>
    </row>
    <row r="7" spans="2:16" x14ac:dyDescent="0.2">
      <c r="B7" s="7"/>
      <c r="C7" s="12"/>
      <c r="D7" s="1" t="s">
        <v>147</v>
      </c>
      <c r="E7" s="12"/>
      <c r="F7" s="1" t="s">
        <v>148</v>
      </c>
      <c r="G7" s="19">
        <f>AA!G33</f>
        <v>135.62687282539</v>
      </c>
      <c r="H7" s="14"/>
      <c r="J7" s="50"/>
      <c r="K7" s="52"/>
      <c r="L7" s="44" t="s">
        <v>149</v>
      </c>
      <c r="M7" s="52"/>
      <c r="N7" s="44" t="s">
        <v>150</v>
      </c>
      <c r="O7" s="85">
        <f>AA!F33</f>
        <v>2.7813766461531102E-2</v>
      </c>
      <c r="P7" s="88"/>
    </row>
    <row r="8" spans="2:16" x14ac:dyDescent="0.2">
      <c r="B8" s="7"/>
      <c r="C8" s="12"/>
      <c r="D8" s="16" t="s">
        <v>151</v>
      </c>
      <c r="E8" s="12"/>
      <c r="F8" s="1"/>
      <c r="G8" s="17"/>
      <c r="H8" s="14"/>
      <c r="J8" s="50"/>
      <c r="K8" s="52"/>
      <c r="L8" s="16" t="s">
        <v>152</v>
      </c>
      <c r="M8" s="52"/>
      <c r="N8" s="44"/>
      <c r="O8" s="56"/>
      <c r="P8" s="88"/>
    </row>
    <row r="9" spans="2:16" x14ac:dyDescent="0.2">
      <c r="B9" s="20"/>
      <c r="C9" s="12"/>
      <c r="D9" s="1" t="s">
        <v>153</v>
      </c>
      <c r="E9" s="1"/>
      <c r="F9" s="1" t="s">
        <v>154</v>
      </c>
      <c r="G9" s="71">
        <f>AA!H34</f>
        <v>86.389218176421394</v>
      </c>
      <c r="H9" s="14"/>
      <c r="J9" s="50"/>
      <c r="K9" s="52"/>
      <c r="L9" s="1" t="s">
        <v>155</v>
      </c>
      <c r="M9" s="52"/>
      <c r="N9" s="44" t="s">
        <v>156</v>
      </c>
      <c r="O9" s="86">
        <f>ABS(O7-O5)</f>
        <v>1.6624977871439878E-4</v>
      </c>
      <c r="P9" s="88"/>
    </row>
    <row r="10" spans="2:16" x14ac:dyDescent="0.2">
      <c r="B10" s="7"/>
      <c r="C10" s="12"/>
      <c r="D10" s="16" t="s">
        <v>157</v>
      </c>
      <c r="E10" s="12"/>
      <c r="F10" s="1"/>
      <c r="G10" s="17"/>
      <c r="H10" s="14"/>
      <c r="J10" s="50"/>
      <c r="K10" s="52"/>
      <c r="L10" s="16" t="s">
        <v>158</v>
      </c>
      <c r="M10" s="52"/>
      <c r="N10" s="44"/>
      <c r="O10" s="56"/>
      <c r="P10" s="88"/>
    </row>
    <row r="11" spans="2:16" x14ac:dyDescent="0.2">
      <c r="B11" s="20"/>
      <c r="C11" s="12"/>
      <c r="D11" s="1" t="s">
        <v>159</v>
      </c>
      <c r="E11" s="1"/>
      <c r="F11" s="1" t="s">
        <v>160</v>
      </c>
      <c r="G11" s="71">
        <f>AA!H33</f>
        <v>86.710070036517394</v>
      </c>
      <c r="H11" s="14"/>
      <c r="J11" s="58"/>
      <c r="K11" s="52"/>
      <c r="L11" s="59" t="s">
        <v>161</v>
      </c>
      <c r="M11" s="59"/>
      <c r="N11" s="59" t="s">
        <v>162</v>
      </c>
      <c r="O11" s="81">
        <f>AA!D34</f>
        <v>508613</v>
      </c>
      <c r="P11" s="88"/>
    </row>
    <row r="12" spans="2:16" x14ac:dyDescent="0.2">
      <c r="B12" s="72"/>
      <c r="C12" s="73"/>
      <c r="D12" s="74" t="s">
        <v>163</v>
      </c>
      <c r="E12" s="73"/>
      <c r="F12" s="75"/>
      <c r="G12" s="76"/>
      <c r="H12" s="77"/>
      <c r="J12" s="50"/>
      <c r="K12" s="52"/>
      <c r="L12" s="16" t="s">
        <v>164</v>
      </c>
      <c r="M12" s="52"/>
      <c r="N12" s="44"/>
      <c r="O12" s="56"/>
      <c r="P12" s="88"/>
    </row>
    <row r="13" spans="2:16" x14ac:dyDescent="0.2">
      <c r="B13" s="78"/>
      <c r="C13" s="73"/>
      <c r="D13" s="79" t="s">
        <v>161</v>
      </c>
      <c r="E13" s="79"/>
      <c r="F13" s="79" t="s">
        <v>162</v>
      </c>
      <c r="G13" s="80">
        <f>AA!E34</f>
        <v>14231</v>
      </c>
      <c r="H13" s="77"/>
      <c r="J13" s="58"/>
      <c r="K13" s="52"/>
      <c r="L13" s="59" t="s">
        <v>165</v>
      </c>
      <c r="M13" s="59"/>
      <c r="N13" s="59" t="s">
        <v>166</v>
      </c>
      <c r="O13" s="81">
        <f>AA!D33</f>
        <v>506332</v>
      </c>
      <c r="P13" s="88"/>
    </row>
    <row r="14" spans="2:16" ht="12" customHeight="1" x14ac:dyDescent="0.2">
      <c r="B14" s="7"/>
      <c r="C14" s="12"/>
      <c r="D14" s="16" t="s">
        <v>164</v>
      </c>
      <c r="E14" s="12"/>
      <c r="F14" s="1"/>
      <c r="G14" s="17"/>
      <c r="H14" s="14"/>
      <c r="J14" s="50"/>
      <c r="K14" s="52"/>
      <c r="L14" s="16" t="s">
        <v>167</v>
      </c>
      <c r="M14" s="52"/>
      <c r="N14" s="44"/>
      <c r="O14" s="56"/>
      <c r="P14" s="88"/>
    </row>
    <row r="15" spans="2:16" ht="12" customHeight="1" thickBot="1" x14ac:dyDescent="0.25">
      <c r="B15" s="20"/>
      <c r="C15" s="12"/>
      <c r="D15" s="21" t="s">
        <v>165</v>
      </c>
      <c r="E15" s="21"/>
      <c r="F15" s="21" t="s">
        <v>166</v>
      </c>
      <c r="G15" s="80">
        <f>AA!E33</f>
        <v>14083</v>
      </c>
      <c r="H15" s="14"/>
      <c r="J15" s="58"/>
      <c r="K15" s="44"/>
      <c r="L15" s="44"/>
      <c r="M15" s="44"/>
      <c r="N15" s="44"/>
      <c r="O15" s="90"/>
      <c r="P15" s="88"/>
    </row>
    <row r="16" spans="2:16" ht="16" thickBot="1" x14ac:dyDescent="0.25">
      <c r="B16" s="7"/>
      <c r="C16" s="12"/>
      <c r="D16" s="16" t="s">
        <v>167</v>
      </c>
      <c r="E16" s="12"/>
      <c r="F16" s="1"/>
      <c r="G16" s="82"/>
      <c r="H16" s="22"/>
      <c r="J16" s="58"/>
      <c r="K16" s="8" t="s">
        <v>168</v>
      </c>
      <c r="L16" s="62"/>
      <c r="M16" s="44"/>
      <c r="N16" s="44"/>
      <c r="O16" s="90"/>
      <c r="P16" s="88"/>
    </row>
    <row r="17" spans="2:16" ht="16" thickBot="1" x14ac:dyDescent="0.25">
      <c r="B17" s="20"/>
      <c r="C17" s="1"/>
      <c r="D17" s="1"/>
      <c r="E17" s="1"/>
      <c r="F17" s="1"/>
      <c r="G17" s="23"/>
      <c r="H17" s="22"/>
      <c r="J17" s="50"/>
      <c r="K17" s="52"/>
      <c r="L17" s="44" t="s">
        <v>169</v>
      </c>
      <c r="M17" s="52"/>
      <c r="N17" s="44" t="s">
        <v>170</v>
      </c>
      <c r="O17" s="25">
        <f>NORMSDIST(O23)</f>
        <v>0.69445999083518772</v>
      </c>
      <c r="P17" s="88"/>
    </row>
    <row r="18" spans="2:16" ht="16" thickBot="1" x14ac:dyDescent="0.25">
      <c r="B18" s="20"/>
      <c r="C18" s="8" t="s">
        <v>168</v>
      </c>
      <c r="D18" s="10"/>
      <c r="E18" s="1"/>
      <c r="F18" s="1"/>
      <c r="G18" s="23"/>
      <c r="H18" s="24"/>
      <c r="J18" s="50"/>
      <c r="K18" s="52"/>
      <c r="L18" s="44" t="s">
        <v>171</v>
      </c>
      <c r="M18" s="52"/>
      <c r="N18" s="59" t="s">
        <v>172</v>
      </c>
      <c r="O18" s="25">
        <f>1-O17</f>
        <v>0.30554000916481228</v>
      </c>
      <c r="P18" s="88"/>
    </row>
    <row r="19" spans="2:16" x14ac:dyDescent="0.2">
      <c r="B19" s="7"/>
      <c r="C19" s="12"/>
      <c r="D19" s="1" t="s">
        <v>169</v>
      </c>
      <c r="E19" s="12"/>
      <c r="F19" s="1" t="s">
        <v>170</v>
      </c>
      <c r="G19" s="25">
        <f>NORMSDIST(G25)</f>
        <v>0.86353145947623211</v>
      </c>
      <c r="H19" s="24"/>
      <c r="J19" s="58"/>
      <c r="K19" s="44"/>
      <c r="L19" s="59"/>
      <c r="M19" s="59"/>
      <c r="N19" s="59"/>
      <c r="O19" s="64"/>
      <c r="P19" s="88"/>
    </row>
    <row r="20" spans="2:16" x14ac:dyDescent="0.2">
      <c r="B20" s="7"/>
      <c r="C20" s="12"/>
      <c r="D20" s="1" t="s">
        <v>173</v>
      </c>
      <c r="E20" s="12"/>
      <c r="F20" s="21" t="s">
        <v>172</v>
      </c>
      <c r="G20" s="25">
        <f>1-G19</f>
        <v>0.13646854052376789</v>
      </c>
      <c r="H20" s="14"/>
      <c r="J20" s="28"/>
      <c r="K20" s="29" t="s">
        <v>174</v>
      </c>
      <c r="L20" s="30"/>
      <c r="M20" s="31"/>
      <c r="N20" s="31"/>
      <c r="O20" s="32"/>
      <c r="P20" s="88"/>
    </row>
    <row r="21" spans="2:16" x14ac:dyDescent="0.2">
      <c r="B21" s="20"/>
      <c r="C21" s="1"/>
      <c r="D21" s="21"/>
      <c r="E21" s="21"/>
      <c r="F21" s="21"/>
      <c r="G21" s="2"/>
      <c r="H21" s="27"/>
      <c r="J21" s="34"/>
      <c r="K21" s="35"/>
      <c r="L21" s="67" t="s">
        <v>175</v>
      </c>
      <c r="M21" s="36"/>
      <c r="N21" s="36" t="s">
        <v>176</v>
      </c>
      <c r="O21" s="37">
        <f>ABS(O7-O5)</f>
        <v>1.6624977871439878E-4</v>
      </c>
      <c r="P21" s="88"/>
    </row>
    <row r="22" spans="2:16" x14ac:dyDescent="0.2">
      <c r="B22" s="28"/>
      <c r="C22" s="29" t="s">
        <v>174</v>
      </c>
      <c r="D22" s="65"/>
      <c r="E22" s="31"/>
      <c r="F22" s="31"/>
      <c r="G22" s="83"/>
      <c r="H22" s="33"/>
      <c r="J22" s="34"/>
      <c r="K22" s="35"/>
      <c r="L22" s="67" t="s">
        <v>177</v>
      </c>
      <c r="M22" s="36"/>
      <c r="N22" s="36" t="s">
        <v>178</v>
      </c>
      <c r="O22" s="68">
        <f>SQRT(((O5*(1-O5))/O11)+(O7*(1-O7))/O13)</f>
        <v>3.2692071640713372E-4</v>
      </c>
      <c r="P22" s="88"/>
    </row>
    <row r="23" spans="2:16" x14ac:dyDescent="0.2">
      <c r="B23" s="34"/>
      <c r="C23" s="35"/>
      <c r="D23" s="36" t="s">
        <v>179</v>
      </c>
      <c r="E23" s="36"/>
      <c r="F23" s="36" t="s">
        <v>156</v>
      </c>
      <c r="G23" s="37">
        <f>ABS(G5-G7)</f>
        <v>1.1278319990269949</v>
      </c>
      <c r="H23" s="84"/>
      <c r="J23" s="34"/>
      <c r="K23" s="36"/>
      <c r="L23" s="36" t="s">
        <v>180</v>
      </c>
      <c r="M23" s="36"/>
      <c r="N23" s="36" t="s">
        <v>181</v>
      </c>
      <c r="O23" s="37">
        <f>O21/O22</f>
        <v>0.5085324066993604</v>
      </c>
      <c r="P23" s="88"/>
    </row>
    <row r="24" spans="2:16" ht="16" thickBot="1" x14ac:dyDescent="0.25">
      <c r="B24" s="34"/>
      <c r="C24" s="35"/>
      <c r="D24" s="36" t="s">
        <v>177</v>
      </c>
      <c r="E24" s="36"/>
      <c r="F24" s="36" t="s">
        <v>178</v>
      </c>
      <c r="G24" s="37">
        <f>SQRT((($G$9^2)/G13)+((G11^2)/G15))</f>
        <v>1.0287398305168491</v>
      </c>
      <c r="H24" s="84"/>
      <c r="J24" s="40"/>
      <c r="K24" s="41"/>
      <c r="L24" s="41"/>
      <c r="M24" s="41"/>
      <c r="N24" s="41"/>
      <c r="O24" s="42"/>
      <c r="P24" s="91"/>
    </row>
    <row r="25" spans="2:16" x14ac:dyDescent="0.2">
      <c r="B25" s="34"/>
      <c r="C25" s="36"/>
      <c r="D25" s="36" t="s">
        <v>180</v>
      </c>
      <c r="E25" s="36"/>
      <c r="F25" s="36" t="s">
        <v>182</v>
      </c>
      <c r="G25" s="37">
        <f>G23/G24</f>
        <v>1.0963238377388003</v>
      </c>
      <c r="H25" s="39"/>
    </row>
    <row r="26" spans="2:16" ht="16" thickBot="1" x14ac:dyDescent="0.25">
      <c r="B26" s="40"/>
      <c r="C26" s="41"/>
      <c r="D26" s="41"/>
      <c r="E26" s="41"/>
      <c r="F26" s="41"/>
      <c r="G26" s="42"/>
      <c r="H26" s="43"/>
    </row>
  </sheetData>
  <mergeCells count="2">
    <mergeCell ref="B2:H2"/>
    <mergeCell ref="J2:P2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1A3-BD2F-470D-9235-622A8D2325E4}">
  <sheetPr>
    <tabColor theme="5"/>
  </sheetPr>
  <dimension ref="B1:Q109"/>
  <sheetViews>
    <sheetView workbookViewId="0">
      <selection activeCell="P67" sqref="P67"/>
    </sheetView>
  </sheetViews>
  <sheetFormatPr baseColWidth="10" defaultColWidth="8.83203125" defaultRowHeight="15" x14ac:dyDescent="0.2"/>
  <cols>
    <col min="2" max="2" width="2.6640625" customWidth="1"/>
    <col min="3" max="3" width="19.5" bestFit="1" customWidth="1"/>
    <col min="4" max="4" width="47.1640625" bestFit="1" customWidth="1"/>
    <col min="7" max="7" width="10.6640625" bestFit="1" customWidth="1"/>
    <col min="8" max="8" width="2.6640625" customWidth="1"/>
    <col min="11" max="11" width="2.6640625" customWidth="1"/>
    <col min="12" max="12" width="19.5" bestFit="1" customWidth="1"/>
    <col min="13" max="13" width="48.5" bestFit="1" customWidth="1"/>
    <col min="15" max="15" width="9.33203125" bestFit="1" customWidth="1"/>
    <col min="16" max="16" width="12" bestFit="1" customWidth="1"/>
    <col min="17" max="17" width="2.6640625" customWidth="1"/>
  </cols>
  <sheetData>
    <row r="1" spans="2:17" x14ac:dyDescent="0.2">
      <c r="B1" s="303" t="s">
        <v>183</v>
      </c>
      <c r="C1" s="304"/>
      <c r="D1" s="304"/>
      <c r="E1" s="304"/>
      <c r="F1" s="304"/>
      <c r="G1" s="304"/>
      <c r="H1" s="304"/>
      <c r="K1" s="303" t="s">
        <v>184</v>
      </c>
      <c r="L1" s="304"/>
      <c r="M1" s="304"/>
      <c r="N1" s="304"/>
      <c r="O1" s="304"/>
      <c r="P1" s="304"/>
      <c r="Q1" s="304"/>
    </row>
    <row r="3" spans="2:17" ht="18" x14ac:dyDescent="0.2">
      <c r="B3" s="305" t="s">
        <v>185</v>
      </c>
      <c r="C3" s="306"/>
      <c r="D3" s="306"/>
      <c r="E3" s="306"/>
      <c r="F3" s="306"/>
      <c r="G3" s="306"/>
      <c r="H3" s="306"/>
      <c r="K3" s="305" t="s">
        <v>185</v>
      </c>
      <c r="L3" s="306"/>
      <c r="M3" s="306"/>
      <c r="N3" s="306"/>
      <c r="O3" s="306"/>
      <c r="P3" s="306"/>
      <c r="Q3" s="306"/>
    </row>
    <row r="4" spans="2:17" ht="16" thickBot="1" x14ac:dyDescent="0.25">
      <c r="B4" s="44"/>
      <c r="C4" s="44"/>
      <c r="D4" s="44"/>
      <c r="E4" s="44"/>
      <c r="F4" s="44"/>
      <c r="G4" s="45"/>
      <c r="H4" s="45"/>
      <c r="K4" s="44"/>
      <c r="L4" s="44"/>
      <c r="M4" s="44"/>
      <c r="N4" s="44"/>
      <c r="O4" s="44"/>
      <c r="P4" s="45"/>
      <c r="Q4" s="45"/>
    </row>
    <row r="5" spans="2:17" ht="16" thickBot="1" x14ac:dyDescent="0.25">
      <c r="B5" s="3"/>
      <c r="C5" s="4"/>
      <c r="D5" s="4"/>
      <c r="E5" s="4"/>
      <c r="F5" s="4"/>
      <c r="G5" s="5"/>
      <c r="H5" s="109"/>
      <c r="K5" s="46"/>
      <c r="L5" s="47"/>
      <c r="M5" s="47"/>
      <c r="N5" s="47"/>
      <c r="O5" s="47"/>
      <c r="P5" s="48"/>
      <c r="Q5" s="49"/>
    </row>
    <row r="6" spans="2:17" ht="16" thickBot="1" x14ac:dyDescent="0.25">
      <c r="B6" s="7"/>
      <c r="C6" s="8" t="s">
        <v>186</v>
      </c>
      <c r="D6" s="9"/>
      <c r="E6" s="9"/>
      <c r="F6" s="9" t="s">
        <v>187</v>
      </c>
      <c r="G6" s="10" t="s">
        <v>140</v>
      </c>
      <c r="H6" s="110"/>
      <c r="K6" s="50"/>
      <c r="L6" s="8" t="s">
        <v>186</v>
      </c>
      <c r="M6" s="9"/>
      <c r="N6" s="9"/>
      <c r="O6" s="9" t="s">
        <v>187</v>
      </c>
      <c r="P6" s="10" t="s">
        <v>140</v>
      </c>
      <c r="Q6" s="51"/>
    </row>
    <row r="7" spans="2:17" ht="16" thickBot="1" x14ac:dyDescent="0.25">
      <c r="B7" s="7"/>
      <c r="C7" s="12"/>
      <c r="D7" s="12"/>
      <c r="E7" s="12"/>
      <c r="F7" s="12"/>
      <c r="G7" s="13"/>
      <c r="H7" s="11"/>
      <c r="K7" s="50"/>
      <c r="L7" s="52"/>
      <c r="M7" s="52"/>
      <c r="N7" s="52"/>
      <c r="O7" s="52"/>
      <c r="P7" s="53"/>
      <c r="Q7" s="27"/>
    </row>
    <row r="8" spans="2:17" ht="16" thickBot="1" x14ac:dyDescent="0.25">
      <c r="B8" s="7"/>
      <c r="C8" s="8" t="s">
        <v>188</v>
      </c>
      <c r="D8" s="10"/>
      <c r="E8" s="12"/>
      <c r="F8" s="12"/>
      <c r="G8" s="13"/>
      <c r="H8" s="11"/>
      <c r="K8" s="50"/>
      <c r="L8" s="8" t="s">
        <v>189</v>
      </c>
      <c r="M8" s="10"/>
      <c r="N8" s="52"/>
      <c r="O8" s="52"/>
      <c r="P8" s="53"/>
      <c r="Q8" s="27"/>
    </row>
    <row r="9" spans="2:17" x14ac:dyDescent="0.2">
      <c r="B9" s="7"/>
      <c r="C9" s="12"/>
      <c r="D9" s="1" t="s">
        <v>141</v>
      </c>
      <c r="E9" s="12"/>
      <c r="F9" s="1" t="s">
        <v>142</v>
      </c>
      <c r="G9" s="15">
        <v>5</v>
      </c>
      <c r="H9" s="14"/>
      <c r="K9" s="50"/>
      <c r="L9" s="52"/>
      <c r="M9" s="44" t="s">
        <v>190</v>
      </c>
      <c r="N9" s="52"/>
      <c r="O9" s="44" t="s">
        <v>144</v>
      </c>
      <c r="P9" s="54">
        <v>0.39</v>
      </c>
      <c r="Q9" s="55"/>
    </row>
    <row r="10" spans="2:17" x14ac:dyDescent="0.2">
      <c r="B10" s="7"/>
      <c r="C10" s="12"/>
      <c r="D10" s="16" t="s">
        <v>145</v>
      </c>
      <c r="E10" s="12"/>
      <c r="F10" s="1"/>
      <c r="G10" s="17"/>
      <c r="H10" s="14"/>
      <c r="K10" s="50"/>
      <c r="L10" s="52"/>
      <c r="M10" s="16" t="s">
        <v>146</v>
      </c>
      <c r="N10" s="52"/>
      <c r="O10" s="44"/>
      <c r="P10" s="56"/>
      <c r="Q10" s="55"/>
    </row>
    <row r="11" spans="2:17" x14ac:dyDescent="0.2">
      <c r="B11" s="7"/>
      <c r="C11" s="12"/>
      <c r="D11" s="1" t="s">
        <v>147</v>
      </c>
      <c r="E11" s="12"/>
      <c r="F11" s="1" t="s">
        <v>148</v>
      </c>
      <c r="G11" s="15">
        <v>6</v>
      </c>
      <c r="H11" s="18"/>
      <c r="K11" s="50"/>
      <c r="L11" s="52"/>
      <c r="M11" s="44" t="s">
        <v>191</v>
      </c>
      <c r="N11" s="52"/>
      <c r="O11" s="44" t="s">
        <v>150</v>
      </c>
      <c r="P11" s="54">
        <v>0.41</v>
      </c>
      <c r="Q11" s="55"/>
    </row>
    <row r="12" spans="2:17" x14ac:dyDescent="0.2">
      <c r="B12" s="7"/>
      <c r="C12" s="12"/>
      <c r="D12" s="16" t="s">
        <v>151</v>
      </c>
      <c r="E12" s="12"/>
      <c r="F12" s="1"/>
      <c r="G12" s="17"/>
      <c r="H12" s="14"/>
      <c r="K12" s="50"/>
      <c r="L12" s="52"/>
      <c r="M12" s="16" t="s">
        <v>152</v>
      </c>
      <c r="N12" s="52"/>
      <c r="O12" s="44"/>
      <c r="P12" s="56"/>
      <c r="Q12" s="55"/>
    </row>
    <row r="13" spans="2:17" x14ac:dyDescent="0.2">
      <c r="B13" s="7"/>
      <c r="C13" s="12"/>
      <c r="D13" s="1" t="s">
        <v>192</v>
      </c>
      <c r="E13" s="12"/>
      <c r="F13" s="1" t="s">
        <v>193</v>
      </c>
      <c r="G13" s="111">
        <f>(G11-G9)/G9</f>
        <v>0.2</v>
      </c>
      <c r="H13" s="18"/>
      <c r="K13" s="50"/>
      <c r="L13" s="52"/>
      <c r="M13" s="1" t="s">
        <v>155</v>
      </c>
      <c r="N13" s="52"/>
      <c r="O13" s="44" t="s">
        <v>156</v>
      </c>
      <c r="P13" s="94">
        <f>P11-P9</f>
        <v>1.9999999999999962E-2</v>
      </c>
      <c r="Q13" s="55"/>
    </row>
    <row r="14" spans="2:17" x14ac:dyDescent="0.2">
      <c r="B14" s="7"/>
      <c r="C14" s="12"/>
      <c r="D14" s="16" t="s">
        <v>194</v>
      </c>
      <c r="E14" s="12"/>
      <c r="F14" s="1"/>
      <c r="G14" s="17"/>
      <c r="H14" s="14"/>
      <c r="K14" s="50"/>
      <c r="L14" s="52"/>
      <c r="M14" s="16" t="s">
        <v>158</v>
      </c>
      <c r="N14" s="52"/>
      <c r="O14" s="44"/>
      <c r="P14" s="56"/>
      <c r="Q14" s="55"/>
    </row>
    <row r="15" spans="2:17" x14ac:dyDescent="0.2">
      <c r="B15" s="20"/>
      <c r="C15" s="1"/>
      <c r="D15" s="1" t="s">
        <v>195</v>
      </c>
      <c r="E15" s="1"/>
      <c r="F15" s="1" t="s">
        <v>196</v>
      </c>
      <c r="G15" s="15">
        <v>16.03</v>
      </c>
      <c r="H15" s="14"/>
      <c r="K15" s="58"/>
      <c r="L15" s="44"/>
      <c r="M15" s="44" t="s">
        <v>197</v>
      </c>
      <c r="N15" s="44"/>
      <c r="O15" s="44" t="s">
        <v>170</v>
      </c>
      <c r="P15" s="54">
        <v>0.95</v>
      </c>
      <c r="Q15" s="95"/>
    </row>
    <row r="16" spans="2:17" x14ac:dyDescent="0.2">
      <c r="B16" s="7"/>
      <c r="C16" s="12"/>
      <c r="D16" s="16" t="s">
        <v>198</v>
      </c>
      <c r="E16" s="12"/>
      <c r="F16" s="1"/>
      <c r="G16" s="17"/>
      <c r="H16" s="14"/>
      <c r="K16" s="58"/>
      <c r="L16" s="44"/>
      <c r="M16" s="16" t="s">
        <v>199</v>
      </c>
      <c r="N16" s="44"/>
      <c r="O16" s="44"/>
      <c r="P16" s="56"/>
      <c r="Q16" s="95"/>
    </row>
    <row r="17" spans="2:17" x14ac:dyDescent="0.2">
      <c r="B17" s="20"/>
      <c r="C17" s="1"/>
      <c r="D17" s="1" t="s">
        <v>197</v>
      </c>
      <c r="E17" s="1"/>
      <c r="F17" s="1" t="s">
        <v>170</v>
      </c>
      <c r="G17" s="15">
        <v>0.95</v>
      </c>
      <c r="H17" s="112"/>
      <c r="K17" s="58"/>
      <c r="L17" s="44"/>
      <c r="M17" s="59" t="s">
        <v>200</v>
      </c>
      <c r="N17" s="59"/>
      <c r="O17" s="59" t="s">
        <v>201</v>
      </c>
      <c r="P17" s="54">
        <v>0.95</v>
      </c>
      <c r="Q17" s="95"/>
    </row>
    <row r="18" spans="2:17" x14ac:dyDescent="0.2">
      <c r="B18" s="7"/>
      <c r="C18" s="12"/>
      <c r="D18" s="16" t="s">
        <v>199</v>
      </c>
      <c r="E18" s="12"/>
      <c r="F18" s="1"/>
      <c r="G18" s="17"/>
      <c r="H18" s="14"/>
      <c r="K18" s="58"/>
      <c r="L18" s="44"/>
      <c r="M18" s="16" t="s">
        <v>202</v>
      </c>
      <c r="N18" s="59"/>
      <c r="O18" s="59"/>
      <c r="P18" s="56"/>
      <c r="Q18" s="95"/>
    </row>
    <row r="19" spans="2:17" x14ac:dyDescent="0.2">
      <c r="B19" s="20"/>
      <c r="C19" s="1"/>
      <c r="D19" s="21" t="s">
        <v>200</v>
      </c>
      <c r="E19" s="21"/>
      <c r="F19" s="21" t="s">
        <v>201</v>
      </c>
      <c r="G19" s="15">
        <v>0.9</v>
      </c>
      <c r="H19" s="112"/>
      <c r="K19" s="58"/>
      <c r="L19" s="44"/>
      <c r="M19" s="59" t="s">
        <v>203</v>
      </c>
      <c r="N19" s="59"/>
      <c r="O19" s="59" t="s">
        <v>204</v>
      </c>
      <c r="P19" s="15">
        <v>2</v>
      </c>
      <c r="Q19" s="55"/>
    </row>
    <row r="20" spans="2:17" x14ac:dyDescent="0.2">
      <c r="B20" s="7"/>
      <c r="C20" s="12"/>
      <c r="D20" s="16" t="s">
        <v>202</v>
      </c>
      <c r="E20" s="12"/>
      <c r="F20" s="1"/>
      <c r="G20" s="17"/>
      <c r="H20" s="14"/>
      <c r="K20" s="58"/>
      <c r="L20" s="44"/>
      <c r="M20" s="96"/>
      <c r="N20" s="59"/>
      <c r="O20" s="59"/>
      <c r="P20" s="56"/>
      <c r="Q20" s="95"/>
    </row>
    <row r="21" spans="2:17" x14ac:dyDescent="0.2">
      <c r="B21" s="20"/>
      <c r="C21" s="1"/>
      <c r="D21" s="1" t="s">
        <v>205</v>
      </c>
      <c r="E21" s="21"/>
      <c r="F21" s="21" t="s">
        <v>204</v>
      </c>
      <c r="G21" s="260">
        <v>0.5</v>
      </c>
      <c r="H21" s="14"/>
      <c r="K21" s="58"/>
      <c r="L21" s="44"/>
      <c r="M21" s="59" t="s">
        <v>206</v>
      </c>
      <c r="N21" s="59"/>
      <c r="O21" s="44" t="s">
        <v>207</v>
      </c>
      <c r="P21" s="15">
        <v>1</v>
      </c>
      <c r="Q21" s="55"/>
    </row>
    <row r="22" spans="2:17" x14ac:dyDescent="0.2">
      <c r="B22" s="7"/>
      <c r="C22" s="12"/>
      <c r="D22" s="16"/>
      <c r="E22" s="12"/>
      <c r="F22" s="1"/>
      <c r="G22" s="17"/>
      <c r="H22" s="14"/>
      <c r="K22" s="58"/>
      <c r="L22" s="44"/>
      <c r="M22" s="16" t="s">
        <v>208</v>
      </c>
      <c r="N22" s="59"/>
      <c r="O22" s="59"/>
      <c r="P22" s="56"/>
      <c r="Q22" s="95"/>
    </row>
    <row r="23" spans="2:17" x14ac:dyDescent="0.2">
      <c r="B23" s="20"/>
      <c r="C23" s="1"/>
      <c r="D23" s="21" t="s">
        <v>209</v>
      </c>
      <c r="E23" s="21"/>
      <c r="F23" s="44" t="s">
        <v>207</v>
      </c>
      <c r="G23" s="15">
        <v>2</v>
      </c>
      <c r="H23" s="14"/>
      <c r="K23" s="58"/>
      <c r="L23" s="44"/>
      <c r="M23" s="16" t="s">
        <v>210</v>
      </c>
      <c r="N23" s="59"/>
      <c r="O23" s="59"/>
      <c r="P23" s="56"/>
      <c r="Q23" s="95"/>
    </row>
    <row r="24" spans="2:17" ht="16" thickBot="1" x14ac:dyDescent="0.25">
      <c r="B24" s="7"/>
      <c r="C24" s="12"/>
      <c r="D24" s="16" t="s">
        <v>208</v>
      </c>
      <c r="E24" s="12"/>
      <c r="F24" s="1"/>
      <c r="G24" s="17"/>
      <c r="H24" s="14"/>
      <c r="K24" s="58"/>
      <c r="L24" s="44"/>
      <c r="M24" s="44"/>
      <c r="N24" s="44"/>
      <c r="O24" s="44"/>
      <c r="P24" s="60"/>
      <c r="Q24" s="61"/>
    </row>
    <row r="25" spans="2:17" ht="16" thickBot="1" x14ac:dyDescent="0.25">
      <c r="B25" s="7"/>
      <c r="C25" s="12"/>
      <c r="D25" s="16" t="s">
        <v>210</v>
      </c>
      <c r="E25" s="12"/>
      <c r="F25" s="1"/>
      <c r="G25" s="17"/>
      <c r="H25" s="14"/>
      <c r="K25" s="50"/>
      <c r="L25" s="8" t="s">
        <v>211</v>
      </c>
      <c r="M25" s="10"/>
      <c r="N25" s="52"/>
      <c r="O25" s="52"/>
      <c r="P25" s="97"/>
      <c r="Q25" s="98"/>
    </row>
    <row r="26" spans="2:17" ht="16" thickBot="1" x14ac:dyDescent="0.25">
      <c r="B26" s="20"/>
      <c r="C26" s="1"/>
      <c r="D26" s="1"/>
      <c r="E26" s="1"/>
      <c r="F26" s="1"/>
      <c r="G26" s="113"/>
      <c r="H26" s="22"/>
      <c r="K26" s="58"/>
      <c r="L26" s="44"/>
      <c r="M26" s="1" t="s">
        <v>212</v>
      </c>
      <c r="N26" s="44"/>
      <c r="O26" s="44" t="s">
        <v>162</v>
      </c>
      <c r="P26" s="99">
        <f>(P39+P38)^2/(P19*(P31-P32)^2)</f>
        <v>9681.7683490641175</v>
      </c>
      <c r="Q26" s="100"/>
    </row>
    <row r="27" spans="2:17" ht="16" thickBot="1" x14ac:dyDescent="0.25">
      <c r="B27" s="7"/>
      <c r="C27" s="8" t="s">
        <v>211</v>
      </c>
      <c r="D27" s="10"/>
      <c r="E27" s="12"/>
      <c r="F27" s="12"/>
      <c r="G27" s="114"/>
      <c r="H27" s="115"/>
      <c r="K27" s="58"/>
      <c r="L27" s="44"/>
      <c r="M27" s="1" t="s">
        <v>213</v>
      </c>
      <c r="N27" s="44"/>
      <c r="O27" s="44" t="s">
        <v>214</v>
      </c>
      <c r="P27" s="99">
        <f>P26*P19</f>
        <v>19363.536698128235</v>
      </c>
      <c r="Q27" s="100"/>
    </row>
    <row r="28" spans="2:17" x14ac:dyDescent="0.2">
      <c r="B28" s="20"/>
      <c r="C28" s="1"/>
      <c r="D28" s="1" t="s">
        <v>212</v>
      </c>
      <c r="E28" s="1"/>
      <c r="F28" s="1" t="s">
        <v>162</v>
      </c>
      <c r="G28" s="99">
        <f>$G$33/G33</f>
        <v>1</v>
      </c>
      <c r="H28" s="116"/>
      <c r="K28" s="58"/>
      <c r="L28" s="44"/>
      <c r="M28" s="1" t="s">
        <v>215</v>
      </c>
      <c r="N28" s="44"/>
      <c r="O28" s="44" t="s">
        <v>216</v>
      </c>
      <c r="P28" s="99">
        <f>P27+P26</f>
        <v>29045.305047192353</v>
      </c>
      <c r="Q28" s="100"/>
    </row>
    <row r="29" spans="2:17" x14ac:dyDescent="0.2">
      <c r="B29" s="20"/>
      <c r="C29" s="1"/>
      <c r="D29" s="1" t="s">
        <v>213</v>
      </c>
      <c r="E29" s="1"/>
      <c r="F29" s="1" t="s">
        <v>214</v>
      </c>
      <c r="G29" s="99">
        <f>$G$27*$G$20</f>
        <v>0</v>
      </c>
      <c r="H29" s="116"/>
      <c r="K29" s="58"/>
      <c r="L29" s="44"/>
      <c r="M29" s="59"/>
      <c r="N29" s="59"/>
      <c r="O29" s="59"/>
      <c r="P29" s="101"/>
      <c r="Q29" s="27"/>
    </row>
    <row r="30" spans="2:17" x14ac:dyDescent="0.2">
      <c r="B30" s="20"/>
      <c r="C30" s="1"/>
      <c r="D30" s="1" t="s">
        <v>215</v>
      </c>
      <c r="E30" s="1"/>
      <c r="F30" s="1" t="s">
        <v>216</v>
      </c>
      <c r="G30" s="99">
        <f>$G$28+$G$27</f>
        <v>1</v>
      </c>
      <c r="H30" s="116"/>
      <c r="K30" s="28"/>
      <c r="L30" s="29" t="s">
        <v>174</v>
      </c>
      <c r="M30" s="30"/>
      <c r="N30" s="31"/>
      <c r="O30" s="31"/>
      <c r="P30" s="32"/>
      <c r="Q30" s="66"/>
    </row>
    <row r="31" spans="2:17" x14ac:dyDescent="0.2">
      <c r="B31" s="20"/>
      <c r="C31" s="1"/>
      <c r="D31" s="21"/>
      <c r="E31" s="21"/>
      <c r="F31" s="21"/>
      <c r="G31" s="117"/>
      <c r="H31" s="11"/>
      <c r="K31" s="34"/>
      <c r="L31" s="36"/>
      <c r="M31" s="67" t="s">
        <v>144</v>
      </c>
      <c r="N31" s="36"/>
      <c r="O31" s="36"/>
      <c r="P31" s="37">
        <f>P9</f>
        <v>0.39</v>
      </c>
      <c r="Q31" s="38"/>
    </row>
    <row r="32" spans="2:17" x14ac:dyDescent="0.2">
      <c r="B32" s="28"/>
      <c r="C32" s="29" t="s">
        <v>174</v>
      </c>
      <c r="D32" s="30"/>
      <c r="E32" s="31"/>
      <c r="F32" s="31"/>
      <c r="G32" s="32"/>
      <c r="H32" s="66"/>
      <c r="K32" s="34"/>
      <c r="L32" s="36"/>
      <c r="M32" s="67" t="s">
        <v>150</v>
      </c>
      <c r="N32" s="36"/>
      <c r="O32" s="36"/>
      <c r="P32" s="37">
        <f>P11</f>
        <v>0.41</v>
      </c>
      <c r="Q32" s="38"/>
    </row>
    <row r="33" spans="2:17" x14ac:dyDescent="0.2">
      <c r="B33" s="34"/>
      <c r="C33" s="36"/>
      <c r="D33" s="36" t="s">
        <v>217</v>
      </c>
      <c r="E33" s="36"/>
      <c r="F33" s="36" t="s">
        <v>218</v>
      </c>
      <c r="G33" s="37">
        <f>((ABS($G$11-$G$9))^2)*$G$21</f>
        <v>0.5</v>
      </c>
      <c r="H33" s="39"/>
      <c r="K33" s="34"/>
      <c r="L33" s="36"/>
      <c r="M33" s="102" t="s">
        <v>219</v>
      </c>
      <c r="N33" s="36"/>
      <c r="O33" s="36"/>
      <c r="P33" s="37">
        <f>(P31+($G$18*P32))/($G$18+1)</f>
        <v>0.39</v>
      </c>
      <c r="Q33" s="39"/>
    </row>
    <row r="34" spans="2:17" x14ac:dyDescent="0.2">
      <c r="B34" s="34"/>
      <c r="C34" s="36"/>
      <c r="D34" s="36" t="s">
        <v>220</v>
      </c>
      <c r="E34" s="36"/>
      <c r="F34" s="36"/>
      <c r="G34" s="118">
        <f>($G$15^2)*($G$21+1)*((IF($G$23=1,$G$36,$G$35))+$G$37)^2</f>
        <v>4049.9953298228052</v>
      </c>
      <c r="H34" s="38"/>
      <c r="K34" s="34"/>
      <c r="L34" s="36"/>
      <c r="M34" s="102" t="s">
        <v>221</v>
      </c>
      <c r="N34" s="36"/>
      <c r="O34" s="36"/>
      <c r="P34" s="37">
        <f>1-P33</f>
        <v>0.61</v>
      </c>
      <c r="Q34" s="39"/>
    </row>
    <row r="35" spans="2:17" x14ac:dyDescent="0.2">
      <c r="B35" s="34"/>
      <c r="C35" s="36"/>
      <c r="D35" s="36" t="s">
        <v>222</v>
      </c>
      <c r="E35" s="36"/>
      <c r="F35" s="36" t="s">
        <v>223</v>
      </c>
      <c r="G35" s="37">
        <f>NORMSINV($G$17+((1-$G$17)/2))</f>
        <v>1.9599639845400536</v>
      </c>
      <c r="H35" s="38"/>
      <c r="K35" s="34"/>
      <c r="L35" s="36"/>
      <c r="M35" s="36" t="s">
        <v>222</v>
      </c>
      <c r="N35" s="36"/>
      <c r="O35" s="36" t="s">
        <v>223</v>
      </c>
      <c r="P35" s="37">
        <f>NORMSINV(P15+ ((1-P15)/2))</f>
        <v>1.9599639845400536</v>
      </c>
      <c r="Q35" s="39"/>
    </row>
    <row r="36" spans="2:17" x14ac:dyDescent="0.2">
      <c r="B36" s="34"/>
      <c r="C36" s="36"/>
      <c r="D36" s="36" t="s">
        <v>224</v>
      </c>
      <c r="E36" s="36"/>
      <c r="F36" s="36" t="s">
        <v>225</v>
      </c>
      <c r="G36" s="37">
        <f>NORMSINV($G$17)</f>
        <v>1.6448536269514715</v>
      </c>
      <c r="H36" s="38"/>
      <c r="K36" s="34"/>
      <c r="L36" s="36"/>
      <c r="M36" s="36" t="s">
        <v>224</v>
      </c>
      <c r="N36" s="36"/>
      <c r="O36" s="36" t="s">
        <v>225</v>
      </c>
      <c r="P36" s="37">
        <f>NORMSINV(P15)</f>
        <v>1.6448536269514715</v>
      </c>
      <c r="Q36" s="39"/>
    </row>
    <row r="37" spans="2:17" x14ac:dyDescent="0.2">
      <c r="B37" s="34"/>
      <c r="C37" s="36"/>
      <c r="D37" s="36" t="s">
        <v>226</v>
      </c>
      <c r="E37" s="36"/>
      <c r="F37" s="36" t="s">
        <v>227</v>
      </c>
      <c r="G37" s="37">
        <f>NORMSINV($G$19)</f>
        <v>1.2815515655446006</v>
      </c>
      <c r="H37" s="39"/>
      <c r="K37" s="34"/>
      <c r="L37" s="36"/>
      <c r="M37" s="36" t="s">
        <v>226</v>
      </c>
      <c r="N37" s="36"/>
      <c r="O37" s="36" t="s">
        <v>227</v>
      </c>
      <c r="P37" s="37">
        <f>NORMSINV(P17)</f>
        <v>1.6448536269514715</v>
      </c>
      <c r="Q37" s="39"/>
    </row>
    <row r="38" spans="2:17" ht="16" thickBot="1" x14ac:dyDescent="0.25">
      <c r="B38" s="40"/>
      <c r="C38" s="41"/>
      <c r="D38" s="41"/>
      <c r="E38" s="41"/>
      <c r="F38" s="41"/>
      <c r="G38" s="107"/>
      <c r="H38" s="43"/>
      <c r="K38" s="34"/>
      <c r="L38" s="36"/>
      <c r="M38" s="102" t="s">
        <v>228</v>
      </c>
      <c r="N38" s="36"/>
      <c r="O38" s="36"/>
      <c r="P38" s="37">
        <f>(IF(P21=1, P36, IF(P21=2, P35)))*(SQRT((1+P19)*P34*P33))</f>
        <v>1.3895849607663053</v>
      </c>
      <c r="Q38" s="38"/>
    </row>
    <row r="39" spans="2:17" x14ac:dyDescent="0.2">
      <c r="B39" s="44"/>
      <c r="C39" s="44"/>
      <c r="D39" s="44"/>
      <c r="E39" s="44"/>
      <c r="F39" s="44"/>
      <c r="G39" s="45"/>
      <c r="H39" s="45"/>
      <c r="K39" s="34"/>
      <c r="L39" s="36"/>
      <c r="M39" s="102" t="s">
        <v>229</v>
      </c>
      <c r="N39" s="36"/>
      <c r="O39" s="36"/>
      <c r="P39" s="37">
        <f>NORMSINV(P17)*(SQRT(P19*P31*(1-P31)+(P32*(1-P32))))</f>
        <v>1.3934735508807752</v>
      </c>
      <c r="Q39" s="38"/>
    </row>
    <row r="40" spans="2:17" ht="19" thickBot="1" x14ac:dyDescent="0.25">
      <c r="B40" s="44"/>
      <c r="C40" s="44"/>
      <c r="D40" s="44"/>
      <c r="E40" s="44"/>
      <c r="F40" s="44"/>
      <c r="G40" s="123"/>
      <c r="H40" s="124"/>
      <c r="K40" s="40"/>
      <c r="L40" s="41"/>
      <c r="M40" s="41"/>
      <c r="N40" s="41"/>
      <c r="O40" s="41"/>
      <c r="P40" s="42"/>
      <c r="Q40" s="69"/>
    </row>
    <row r="41" spans="2:17" x14ac:dyDescent="0.2">
      <c r="K41" s="44"/>
      <c r="L41" s="44"/>
      <c r="M41" s="44"/>
      <c r="N41" s="44"/>
      <c r="O41" s="44"/>
      <c r="P41" s="45"/>
      <c r="Q41" s="45"/>
    </row>
    <row r="42" spans="2:17" ht="18" x14ac:dyDescent="0.2">
      <c r="B42" s="305" t="s">
        <v>230</v>
      </c>
      <c r="C42" s="306"/>
      <c r="D42" s="306"/>
      <c r="E42" s="306"/>
      <c r="F42" s="306"/>
      <c r="G42" s="306"/>
      <c r="H42" s="306"/>
      <c r="K42" s="305" t="s">
        <v>230</v>
      </c>
      <c r="L42" s="306"/>
      <c r="M42" s="306"/>
      <c r="N42" s="306"/>
      <c r="O42" s="306"/>
      <c r="P42" s="306"/>
      <c r="Q42" s="306"/>
    </row>
    <row r="43" spans="2:17" ht="16" thickBot="1" x14ac:dyDescent="0.25">
      <c r="B43" s="44"/>
      <c r="C43" s="44"/>
      <c r="D43" s="44"/>
      <c r="E43" s="44"/>
      <c r="F43" s="44"/>
      <c r="G43" s="45"/>
      <c r="H43" s="45"/>
      <c r="K43" s="44"/>
      <c r="L43" s="44"/>
      <c r="M43" s="44"/>
      <c r="N43" s="44"/>
      <c r="O43" s="44"/>
      <c r="P43" s="45"/>
      <c r="Q43" s="45"/>
    </row>
    <row r="44" spans="2:17" ht="16" thickBot="1" x14ac:dyDescent="0.25">
      <c r="B44" s="3"/>
      <c r="C44" s="4"/>
      <c r="D44" s="4"/>
      <c r="E44" s="4"/>
      <c r="F44" s="4"/>
      <c r="G44" s="5"/>
      <c r="H44" s="6"/>
      <c r="K44" s="46"/>
      <c r="L44" s="47"/>
      <c r="M44" s="47"/>
      <c r="N44" s="47"/>
      <c r="O44" s="47"/>
      <c r="P44" s="48"/>
      <c r="Q44" s="49"/>
    </row>
    <row r="45" spans="2:17" ht="16" thickBot="1" x14ac:dyDescent="0.25">
      <c r="B45" s="7"/>
      <c r="C45" s="8" t="s">
        <v>186</v>
      </c>
      <c r="D45" s="9"/>
      <c r="E45" s="9"/>
      <c r="F45" s="9" t="s">
        <v>187</v>
      </c>
      <c r="G45" s="10" t="s">
        <v>140</v>
      </c>
      <c r="H45" s="11"/>
      <c r="K45" s="50"/>
      <c r="L45" s="8" t="s">
        <v>186</v>
      </c>
      <c r="M45" s="9"/>
      <c r="N45" s="9"/>
      <c r="O45" s="9" t="s">
        <v>187</v>
      </c>
      <c r="P45" s="10" t="s">
        <v>140</v>
      </c>
      <c r="Q45" s="51"/>
    </row>
    <row r="46" spans="2:17" ht="16" thickBot="1" x14ac:dyDescent="0.25">
      <c r="B46" s="7"/>
      <c r="C46" s="12"/>
      <c r="D46" s="12"/>
      <c r="E46" s="12"/>
      <c r="F46" s="12"/>
      <c r="G46" s="13"/>
      <c r="H46" s="11"/>
      <c r="K46" s="50"/>
      <c r="L46" s="52"/>
      <c r="M46" s="52"/>
      <c r="N46" s="52"/>
      <c r="O46" s="52"/>
      <c r="P46" s="53"/>
      <c r="Q46" s="27"/>
    </row>
    <row r="47" spans="2:17" ht="16" thickBot="1" x14ac:dyDescent="0.25">
      <c r="B47" s="7"/>
      <c r="C47" s="8" t="s">
        <v>138</v>
      </c>
      <c r="D47" s="10"/>
      <c r="E47" s="12"/>
      <c r="F47" s="12"/>
      <c r="G47" s="13"/>
      <c r="H47" s="14"/>
      <c r="K47" s="50"/>
      <c r="L47" s="8" t="s">
        <v>138</v>
      </c>
      <c r="M47" s="10"/>
      <c r="N47" s="52"/>
      <c r="O47" s="52"/>
      <c r="P47" s="53"/>
      <c r="Q47" s="27"/>
    </row>
    <row r="48" spans="2:17" x14ac:dyDescent="0.2">
      <c r="B48" s="7"/>
      <c r="C48" s="12"/>
      <c r="D48" s="1" t="s">
        <v>141</v>
      </c>
      <c r="E48" s="12"/>
      <c r="F48" s="1" t="s">
        <v>142</v>
      </c>
      <c r="G48" s="15">
        <v>30</v>
      </c>
      <c r="H48" s="14"/>
      <c r="K48" s="50"/>
      <c r="L48" s="52"/>
      <c r="M48" s="44" t="s">
        <v>143</v>
      </c>
      <c r="N48" s="52"/>
      <c r="O48" s="44" t="s">
        <v>144</v>
      </c>
      <c r="P48" s="54">
        <v>0.15</v>
      </c>
      <c r="Q48" s="55"/>
    </row>
    <row r="49" spans="2:17" x14ac:dyDescent="0.2">
      <c r="B49" s="7"/>
      <c r="C49" s="12"/>
      <c r="D49" s="16" t="s">
        <v>145</v>
      </c>
      <c r="E49" s="12"/>
      <c r="F49" s="1"/>
      <c r="G49" s="17"/>
      <c r="H49" s="18"/>
      <c r="K49" s="50"/>
      <c r="L49" s="52"/>
      <c r="M49" s="16" t="s">
        <v>146</v>
      </c>
      <c r="N49" s="52"/>
      <c r="O49" s="44"/>
      <c r="P49" s="56"/>
      <c r="Q49" s="55"/>
    </row>
    <row r="50" spans="2:17" x14ac:dyDescent="0.2">
      <c r="B50" s="7"/>
      <c r="C50" s="12"/>
      <c r="D50" s="1" t="s">
        <v>147</v>
      </c>
      <c r="E50" s="12"/>
      <c r="F50" s="1" t="s">
        <v>148</v>
      </c>
      <c r="G50" s="103">
        <v>32.5</v>
      </c>
      <c r="H50" s="14"/>
      <c r="K50" s="50"/>
      <c r="L50" s="52"/>
      <c r="M50" s="44" t="s">
        <v>149</v>
      </c>
      <c r="N50" s="52"/>
      <c r="O50" s="44" t="s">
        <v>150</v>
      </c>
      <c r="P50" s="54">
        <v>0.3</v>
      </c>
      <c r="Q50" s="57"/>
    </row>
    <row r="51" spans="2:17" x14ac:dyDescent="0.2">
      <c r="B51" s="7"/>
      <c r="C51" s="12"/>
      <c r="D51" s="16" t="s">
        <v>151</v>
      </c>
      <c r="E51" s="12"/>
      <c r="F51" s="1"/>
      <c r="G51" s="17"/>
      <c r="H51" s="18"/>
      <c r="K51" s="50"/>
      <c r="L51" s="52"/>
      <c r="M51" s="16" t="s">
        <v>152</v>
      </c>
      <c r="N51" s="52"/>
      <c r="O51" s="44"/>
      <c r="P51" s="56"/>
      <c r="Q51" s="55"/>
    </row>
    <row r="52" spans="2:17" x14ac:dyDescent="0.2">
      <c r="B52" s="7"/>
      <c r="C52" s="12"/>
      <c r="D52" s="1" t="s">
        <v>192</v>
      </c>
      <c r="E52" s="12"/>
      <c r="F52" s="1" t="s">
        <v>193</v>
      </c>
      <c r="G52" s="119">
        <f>(G50-G48)/G48</f>
        <v>8.3333333333333329E-2</v>
      </c>
      <c r="H52" s="18"/>
      <c r="K52" s="50"/>
      <c r="L52" s="52"/>
      <c r="M52" s="1" t="s">
        <v>155</v>
      </c>
      <c r="N52" s="52"/>
      <c r="O52" s="44" t="s">
        <v>156</v>
      </c>
      <c r="P52" s="54">
        <f>P50-P48</f>
        <v>0.15</v>
      </c>
      <c r="Q52" s="57"/>
    </row>
    <row r="53" spans="2:17" x14ac:dyDescent="0.2">
      <c r="B53" s="7"/>
      <c r="C53" s="12"/>
      <c r="D53" s="16" t="s">
        <v>194</v>
      </c>
      <c r="E53" s="12"/>
      <c r="F53" s="1"/>
      <c r="G53" s="17"/>
      <c r="H53" s="18"/>
      <c r="K53" s="50"/>
      <c r="L53" s="52"/>
      <c r="M53" s="16" t="s">
        <v>158</v>
      </c>
      <c r="N53" s="52"/>
      <c r="O53" s="44"/>
      <c r="P53" s="56"/>
      <c r="Q53" s="57"/>
    </row>
    <row r="54" spans="2:17" x14ac:dyDescent="0.2">
      <c r="B54" s="7"/>
      <c r="C54" s="12"/>
      <c r="D54" s="1" t="s">
        <v>195</v>
      </c>
      <c r="E54" s="12"/>
      <c r="F54" s="1" t="s">
        <v>196</v>
      </c>
      <c r="G54" s="103">
        <v>5</v>
      </c>
      <c r="H54" s="14"/>
      <c r="K54" s="58"/>
      <c r="L54" s="52"/>
      <c r="M54" s="59" t="s">
        <v>161</v>
      </c>
      <c r="N54" s="59"/>
      <c r="O54" s="59" t="s">
        <v>162</v>
      </c>
      <c r="P54" s="15">
        <v>75</v>
      </c>
      <c r="Q54" s="55"/>
    </row>
    <row r="55" spans="2:17" x14ac:dyDescent="0.2">
      <c r="B55" s="7"/>
      <c r="C55" s="12"/>
      <c r="D55" s="16" t="s">
        <v>198</v>
      </c>
      <c r="E55" s="12"/>
      <c r="F55" s="1"/>
      <c r="G55" s="17"/>
      <c r="H55" s="14"/>
      <c r="K55" s="50"/>
      <c r="L55" s="52"/>
      <c r="M55" s="16" t="s">
        <v>164</v>
      </c>
      <c r="N55" s="52"/>
      <c r="O55" s="44"/>
      <c r="P55" s="56"/>
      <c r="Q55" s="55"/>
    </row>
    <row r="56" spans="2:17" x14ac:dyDescent="0.2">
      <c r="B56" s="20"/>
      <c r="C56" s="12"/>
      <c r="D56" s="21" t="s">
        <v>161</v>
      </c>
      <c r="E56" s="21"/>
      <c r="F56" s="21" t="s">
        <v>162</v>
      </c>
      <c r="G56" s="15">
        <v>100</v>
      </c>
      <c r="H56" s="14"/>
      <c r="K56" s="58"/>
      <c r="L56" s="52"/>
      <c r="M56" s="59" t="s">
        <v>165</v>
      </c>
      <c r="N56" s="59"/>
      <c r="O56" s="59" t="s">
        <v>214</v>
      </c>
      <c r="P56" s="15">
        <f>P58*P54</f>
        <v>150</v>
      </c>
      <c r="Q56" s="55"/>
    </row>
    <row r="57" spans="2:17" x14ac:dyDescent="0.2">
      <c r="B57" s="7"/>
      <c r="C57" s="12"/>
      <c r="D57" s="16" t="s">
        <v>164</v>
      </c>
      <c r="E57" s="12"/>
      <c r="F57" s="1"/>
      <c r="G57" s="17"/>
      <c r="H57" s="14"/>
      <c r="K57" s="50"/>
      <c r="L57" s="52"/>
      <c r="M57" s="16" t="s">
        <v>167</v>
      </c>
      <c r="N57" s="52"/>
      <c r="O57" s="44"/>
      <c r="P57" s="56"/>
      <c r="Q57" s="55"/>
    </row>
    <row r="58" spans="2:17" x14ac:dyDescent="0.2">
      <c r="B58" s="20"/>
      <c r="C58" s="12"/>
      <c r="D58" s="21" t="s">
        <v>165</v>
      </c>
      <c r="E58" s="21"/>
      <c r="F58" s="21" t="s">
        <v>214</v>
      </c>
      <c r="G58" s="15">
        <f>G56*G60</f>
        <v>100</v>
      </c>
      <c r="H58" s="14"/>
      <c r="K58" s="58"/>
      <c r="L58" s="52"/>
      <c r="M58" s="59" t="s">
        <v>203</v>
      </c>
      <c r="N58" s="59"/>
      <c r="O58" s="59" t="s">
        <v>204</v>
      </c>
      <c r="P58" s="15">
        <v>2</v>
      </c>
      <c r="Q58" s="55"/>
    </row>
    <row r="59" spans="2:17" x14ac:dyDescent="0.2">
      <c r="B59" s="7"/>
      <c r="C59" s="12"/>
      <c r="D59" s="16" t="s">
        <v>167</v>
      </c>
      <c r="E59" s="12"/>
      <c r="F59" s="1"/>
      <c r="G59" s="17"/>
      <c r="H59" s="112"/>
      <c r="K59" s="50"/>
      <c r="L59" s="52"/>
      <c r="M59" s="96"/>
      <c r="N59" s="52"/>
      <c r="O59" s="44"/>
      <c r="P59" s="56"/>
      <c r="Q59" s="55"/>
    </row>
    <row r="60" spans="2:17" x14ac:dyDescent="0.2">
      <c r="B60" s="20"/>
      <c r="C60" s="12"/>
      <c r="D60" s="1" t="s">
        <v>205</v>
      </c>
      <c r="E60" s="1"/>
      <c r="F60" s="1" t="s">
        <v>204</v>
      </c>
      <c r="G60" s="103">
        <v>1</v>
      </c>
      <c r="H60" s="14"/>
      <c r="K60" s="58"/>
      <c r="L60" s="52"/>
      <c r="M60" s="44" t="s">
        <v>197</v>
      </c>
      <c r="N60" s="44"/>
      <c r="O60" s="44" t="s">
        <v>170</v>
      </c>
      <c r="P60" s="54">
        <v>0.95</v>
      </c>
      <c r="Q60" s="95"/>
    </row>
    <row r="61" spans="2:17" x14ac:dyDescent="0.2">
      <c r="B61" s="7"/>
      <c r="C61" s="12"/>
      <c r="D61" s="16"/>
      <c r="E61" s="12"/>
      <c r="F61" s="1"/>
      <c r="G61" s="17"/>
      <c r="H61" s="14"/>
      <c r="K61" s="50"/>
      <c r="L61" s="52"/>
      <c r="M61" s="16" t="s">
        <v>231</v>
      </c>
      <c r="N61" s="52"/>
      <c r="O61" s="44"/>
      <c r="P61" s="56"/>
      <c r="Q61" s="55"/>
    </row>
    <row r="62" spans="2:17" x14ac:dyDescent="0.2">
      <c r="B62" s="20"/>
      <c r="C62" s="12"/>
      <c r="D62" s="1" t="s">
        <v>197</v>
      </c>
      <c r="E62" s="1"/>
      <c r="F62" s="1" t="s">
        <v>170</v>
      </c>
      <c r="G62" s="54">
        <v>0.95</v>
      </c>
      <c r="H62" s="14"/>
      <c r="K62" s="58"/>
      <c r="L62" s="52"/>
      <c r="M62" s="59" t="s">
        <v>206</v>
      </c>
      <c r="N62" s="44"/>
      <c r="O62" s="44" t="s">
        <v>207</v>
      </c>
      <c r="P62" s="103">
        <v>1</v>
      </c>
      <c r="Q62" s="95"/>
    </row>
    <row r="63" spans="2:17" x14ac:dyDescent="0.2">
      <c r="B63" s="7"/>
      <c r="C63" s="12"/>
      <c r="D63" s="16" t="s">
        <v>231</v>
      </c>
      <c r="E63" s="12"/>
      <c r="F63" s="1"/>
      <c r="G63" s="17"/>
      <c r="H63" s="14"/>
      <c r="K63" s="58"/>
      <c r="L63" s="52"/>
      <c r="M63" s="16" t="s">
        <v>208</v>
      </c>
      <c r="N63" s="44"/>
      <c r="O63" s="44"/>
      <c r="P63" s="104"/>
      <c r="Q63" s="95"/>
    </row>
    <row r="64" spans="2:17" x14ac:dyDescent="0.2">
      <c r="B64" s="20"/>
      <c r="C64" s="12"/>
      <c r="D64" s="1" t="s">
        <v>232</v>
      </c>
      <c r="E64" s="1"/>
      <c r="F64" s="44" t="s">
        <v>207</v>
      </c>
      <c r="G64" s="103">
        <v>2</v>
      </c>
      <c r="H64" s="14"/>
      <c r="K64" s="50"/>
      <c r="L64" s="52"/>
      <c r="M64" s="16" t="s">
        <v>210</v>
      </c>
      <c r="N64" s="52"/>
      <c r="O64" s="44"/>
      <c r="P64" s="105"/>
      <c r="Q64" s="55"/>
    </row>
    <row r="65" spans="2:17" ht="16" thickBot="1" x14ac:dyDescent="0.25">
      <c r="B65" s="7"/>
      <c r="C65" s="12"/>
      <c r="D65" s="16" t="s">
        <v>208</v>
      </c>
      <c r="E65" s="12"/>
      <c r="F65" s="1"/>
      <c r="G65" s="82"/>
      <c r="H65" s="14"/>
      <c r="K65" s="58"/>
      <c r="L65" s="44"/>
      <c r="M65" s="44"/>
      <c r="N65" s="44"/>
      <c r="O65" s="1"/>
      <c r="P65" s="60"/>
      <c r="Q65" s="61"/>
    </row>
    <row r="66" spans="2:17" ht="16" thickBot="1" x14ac:dyDescent="0.25">
      <c r="B66" s="7"/>
      <c r="C66" s="12"/>
      <c r="D66" s="16" t="s">
        <v>210</v>
      </c>
      <c r="E66" s="12"/>
      <c r="F66" s="1"/>
      <c r="G66" s="82"/>
      <c r="H66" s="22"/>
      <c r="K66" s="58"/>
      <c r="L66" s="8" t="s">
        <v>233</v>
      </c>
      <c r="M66" s="62"/>
      <c r="N66" s="44"/>
      <c r="O66" s="44"/>
      <c r="P66" s="60"/>
      <c r="Q66" s="61"/>
    </row>
    <row r="67" spans="2:17" ht="16" thickBot="1" x14ac:dyDescent="0.25">
      <c r="B67" s="20"/>
      <c r="C67" s="1"/>
      <c r="D67" s="1"/>
      <c r="E67" s="1"/>
      <c r="F67" s="1"/>
      <c r="G67" s="23"/>
      <c r="H67" s="24"/>
      <c r="K67" s="50"/>
      <c r="L67" s="52"/>
      <c r="M67" s="44" t="s">
        <v>234</v>
      </c>
      <c r="N67" s="52"/>
      <c r="O67" s="106" t="s">
        <v>235</v>
      </c>
      <c r="P67" s="25">
        <f>NORMSDIST(P76)</f>
        <v>0.7577095349816747</v>
      </c>
      <c r="Q67" s="63"/>
    </row>
    <row r="68" spans="2:17" ht="16" thickBot="1" x14ac:dyDescent="0.25">
      <c r="B68" s="20"/>
      <c r="C68" s="8" t="s">
        <v>233</v>
      </c>
      <c r="D68" s="10"/>
      <c r="E68" s="1"/>
      <c r="F68" s="1"/>
      <c r="G68" s="23"/>
      <c r="H68" s="14"/>
      <c r="K68" s="50"/>
      <c r="L68" s="52"/>
      <c r="M68" s="96" t="s">
        <v>236</v>
      </c>
      <c r="N68" s="52"/>
      <c r="O68" s="44"/>
      <c r="P68" s="56"/>
      <c r="Q68" s="55"/>
    </row>
    <row r="69" spans="2:17" x14ac:dyDescent="0.2">
      <c r="B69" s="7"/>
      <c r="C69" s="12"/>
      <c r="D69" s="1" t="s">
        <v>234</v>
      </c>
      <c r="E69" s="12"/>
      <c r="F69" s="120" t="s">
        <v>235</v>
      </c>
      <c r="G69" s="25">
        <f>NORMSDIST(G75)</f>
        <v>0.94243752370702827</v>
      </c>
      <c r="H69" s="11"/>
      <c r="K69" s="58"/>
      <c r="L69" s="44"/>
      <c r="M69" s="59"/>
      <c r="N69" s="59"/>
      <c r="O69" s="59"/>
      <c r="P69" s="45"/>
      <c r="Q69" s="55"/>
    </row>
    <row r="70" spans="2:17" x14ac:dyDescent="0.2">
      <c r="B70" s="20"/>
      <c r="C70" s="1"/>
      <c r="D70" s="21"/>
      <c r="E70" s="21"/>
      <c r="F70" s="21"/>
      <c r="G70" s="2"/>
      <c r="H70" s="61"/>
      <c r="K70" s="28"/>
      <c r="L70" s="29" t="s">
        <v>174</v>
      </c>
      <c r="M70" s="30"/>
      <c r="N70" s="31"/>
      <c r="O70" s="31"/>
      <c r="P70" s="83"/>
      <c r="Q70" s="66"/>
    </row>
    <row r="71" spans="2:17" x14ac:dyDescent="0.2">
      <c r="B71" s="28"/>
      <c r="C71" s="29" t="s">
        <v>174</v>
      </c>
      <c r="D71" s="65"/>
      <c r="E71" s="31"/>
      <c r="F71" s="31"/>
      <c r="G71" s="83"/>
      <c r="H71" s="121"/>
      <c r="K71" s="34"/>
      <c r="L71" s="35"/>
      <c r="M71" s="36" t="s">
        <v>219</v>
      </c>
      <c r="N71" s="36"/>
      <c r="O71" s="36"/>
      <c r="P71" s="118">
        <f>(P48+P58*P50)/(P58+1)</f>
        <v>0.25</v>
      </c>
      <c r="Q71" s="38"/>
    </row>
    <row r="72" spans="2:17" x14ac:dyDescent="0.2">
      <c r="B72" s="34"/>
      <c r="C72" s="35"/>
      <c r="D72" s="36" t="s">
        <v>237</v>
      </c>
      <c r="E72" s="36"/>
      <c r="F72" s="36" t="s">
        <v>156</v>
      </c>
      <c r="G72" s="37">
        <f>ABS(G48-G50)</f>
        <v>2.5</v>
      </c>
      <c r="H72" s="38"/>
      <c r="K72" s="34"/>
      <c r="L72" s="35"/>
      <c r="M72" s="36" t="s">
        <v>221</v>
      </c>
      <c r="N72" s="36"/>
      <c r="O72" s="36"/>
      <c r="P72" s="118">
        <f>1-P71</f>
        <v>0.75</v>
      </c>
      <c r="Q72" s="38"/>
    </row>
    <row r="73" spans="2:17" x14ac:dyDescent="0.2">
      <c r="B73" s="34"/>
      <c r="C73" s="35"/>
      <c r="D73" s="36" t="s">
        <v>238</v>
      </c>
      <c r="E73" s="36"/>
      <c r="F73" s="36"/>
      <c r="G73" s="122">
        <f>SQRT(((G54^2)*(G60+1))/(G60*G56))</f>
        <v>0.70710678118654757</v>
      </c>
      <c r="H73" s="38"/>
      <c r="K73" s="34"/>
      <c r="L73" s="35"/>
      <c r="M73" s="36" t="s">
        <v>239</v>
      </c>
      <c r="N73" s="36"/>
      <c r="O73" s="36"/>
      <c r="P73" s="118">
        <f>(SQRT((P58*P54)-((P58+1)/(P50-P48))))*(P50-P48)</f>
        <v>1.7102631376487067</v>
      </c>
      <c r="Q73" s="38"/>
    </row>
    <row r="74" spans="2:17" x14ac:dyDescent="0.2">
      <c r="B74" s="34"/>
      <c r="C74" s="35"/>
      <c r="D74" s="36" t="s">
        <v>240</v>
      </c>
      <c r="E74" s="36"/>
      <c r="F74" s="36"/>
      <c r="G74" s="37">
        <f>G72/G73</f>
        <v>3.5355339059327373</v>
      </c>
      <c r="H74" s="38"/>
      <c r="K74" s="34"/>
      <c r="L74" s="35"/>
      <c r="M74" s="36" t="s">
        <v>241</v>
      </c>
      <c r="N74" s="36"/>
      <c r="O74" s="36"/>
      <c r="P74" s="118">
        <f>(IF(P62=1,P78,P77))*(SQRT((P58+1)*P71*P72))</f>
        <v>1.2336402202136036</v>
      </c>
      <c r="Q74" s="38"/>
    </row>
    <row r="75" spans="2:17" x14ac:dyDescent="0.2">
      <c r="B75" s="34"/>
      <c r="C75" s="35"/>
      <c r="D75" s="36" t="s">
        <v>242</v>
      </c>
      <c r="E75" s="36"/>
      <c r="F75" s="36" t="s">
        <v>227</v>
      </c>
      <c r="G75" s="37">
        <f>G74-(IF(G64=1,G77,G76))</f>
        <v>1.5755699213926837</v>
      </c>
      <c r="H75" s="38"/>
      <c r="K75" s="34"/>
      <c r="L75" s="35"/>
      <c r="M75" s="36" t="s">
        <v>243</v>
      </c>
      <c r="N75" s="36"/>
      <c r="O75" s="36"/>
      <c r="P75" s="118">
        <f>SQRT(P58*P48*(1-P48)+P50*(1-P50))</f>
        <v>0.6819090848492928</v>
      </c>
      <c r="Q75" s="38"/>
    </row>
    <row r="76" spans="2:17" x14ac:dyDescent="0.2">
      <c r="B76" s="34"/>
      <c r="C76" s="36"/>
      <c r="D76" s="36" t="s">
        <v>222</v>
      </c>
      <c r="E76" s="36"/>
      <c r="F76" s="36" t="s">
        <v>223</v>
      </c>
      <c r="G76" s="37">
        <f>NORMSINV(G62+((1-G62)/2))</f>
        <v>1.9599639845400536</v>
      </c>
      <c r="H76" s="38"/>
      <c r="K76" s="34"/>
      <c r="L76" s="35"/>
      <c r="M76" s="36" t="s">
        <v>244</v>
      </c>
      <c r="N76" s="36"/>
      <c r="O76" s="36" t="s">
        <v>227</v>
      </c>
      <c r="P76" s="118">
        <f>(P73-P74)/P75</f>
        <v>0.69895375794918535</v>
      </c>
      <c r="Q76" s="38"/>
    </row>
    <row r="77" spans="2:17" x14ac:dyDescent="0.2">
      <c r="B77" s="34"/>
      <c r="C77" s="36"/>
      <c r="D77" s="36" t="s">
        <v>224</v>
      </c>
      <c r="E77" s="36"/>
      <c r="F77" s="36" t="s">
        <v>225</v>
      </c>
      <c r="G77" s="37">
        <f>NORMSINV(G62)</f>
        <v>1.6448536269514715</v>
      </c>
      <c r="H77" s="38"/>
      <c r="K77" s="34"/>
      <c r="L77" s="36"/>
      <c r="M77" s="36" t="s">
        <v>222</v>
      </c>
      <c r="N77" s="36"/>
      <c r="O77" s="36" t="s">
        <v>223</v>
      </c>
      <c r="P77" s="118">
        <f>NORMSINV(P60+((1-P60)/2))</f>
        <v>1.9599639845400536</v>
      </c>
      <c r="Q77" s="38"/>
    </row>
    <row r="78" spans="2:17" ht="16" thickBot="1" x14ac:dyDescent="0.25">
      <c r="B78" s="40"/>
      <c r="C78" s="41"/>
      <c r="D78" s="41"/>
      <c r="E78" s="41"/>
      <c r="F78" s="41"/>
      <c r="G78" s="107"/>
      <c r="H78" s="43"/>
      <c r="K78" s="34"/>
      <c r="L78" s="36"/>
      <c r="M78" s="36" t="s">
        <v>224</v>
      </c>
      <c r="N78" s="36"/>
      <c r="O78" s="36" t="s">
        <v>225</v>
      </c>
      <c r="P78" s="118">
        <f>NORMSINV(P60)</f>
        <v>1.6448536269514715</v>
      </c>
      <c r="Q78" s="38"/>
    </row>
    <row r="79" spans="2:17" ht="19" thickBot="1" x14ac:dyDescent="0.25">
      <c r="B79" s="44"/>
      <c r="C79" s="44"/>
      <c r="D79" s="44"/>
      <c r="E79" s="44"/>
      <c r="F79" s="44"/>
      <c r="G79" s="125"/>
      <c r="H79" s="124"/>
      <c r="K79" s="40"/>
      <c r="L79" s="41"/>
      <c r="M79" s="41"/>
      <c r="N79" s="41"/>
      <c r="O79" s="41"/>
      <c r="P79" s="107"/>
      <c r="Q79" s="69"/>
    </row>
    <row r="80" spans="2:17" x14ac:dyDescent="0.2">
      <c r="B80" s="44"/>
      <c r="C80" s="44"/>
      <c r="D80" s="44"/>
      <c r="E80" s="44"/>
      <c r="F80" s="44"/>
      <c r="G80" s="108"/>
      <c r="H80" s="125"/>
      <c r="K80" s="44"/>
      <c r="L80" s="44"/>
      <c r="M80" s="44"/>
      <c r="N80" s="44"/>
      <c r="O80" s="44"/>
      <c r="P80" s="45"/>
      <c r="Q80" s="45"/>
    </row>
    <row r="81" spans="2:17" x14ac:dyDescent="0.2">
      <c r="K81" s="44"/>
      <c r="L81" s="44"/>
      <c r="M81" s="44"/>
      <c r="N81" s="44"/>
      <c r="O81" s="44"/>
      <c r="P81" s="108"/>
      <c r="Q81" s="108"/>
    </row>
    <row r="82" spans="2:17" ht="16" thickBot="1" x14ac:dyDescent="0.25">
      <c r="B82" s="307" t="s">
        <v>245</v>
      </c>
      <c r="C82" s="302"/>
      <c r="D82" s="302"/>
      <c r="E82" s="302"/>
      <c r="F82" s="302"/>
      <c r="G82" s="302"/>
      <c r="H82" s="302"/>
      <c r="K82" s="307" t="s">
        <v>246</v>
      </c>
      <c r="L82" s="302"/>
      <c r="M82" s="302"/>
      <c r="N82" s="302"/>
      <c r="O82" s="302"/>
      <c r="P82" s="302"/>
      <c r="Q82" s="302"/>
    </row>
    <row r="83" spans="2:17" ht="16" thickBot="1" x14ac:dyDescent="0.25">
      <c r="B83" s="3"/>
      <c r="C83" s="4"/>
      <c r="D83" s="4"/>
      <c r="E83" s="4"/>
      <c r="F83" s="4"/>
      <c r="G83" s="5"/>
      <c r="H83" s="6"/>
      <c r="K83" s="46"/>
      <c r="L83" s="47"/>
      <c r="M83" s="47"/>
      <c r="N83" s="47"/>
      <c r="O83" s="47"/>
      <c r="P83" s="48"/>
      <c r="Q83" s="49"/>
    </row>
    <row r="84" spans="2:17" ht="16" thickBot="1" x14ac:dyDescent="0.25">
      <c r="B84" s="7"/>
      <c r="C84" s="8" t="s">
        <v>186</v>
      </c>
      <c r="D84" s="9"/>
      <c r="E84" s="9"/>
      <c r="F84" s="9" t="s">
        <v>187</v>
      </c>
      <c r="G84" s="10" t="s">
        <v>140</v>
      </c>
      <c r="H84" s="11"/>
      <c r="K84" s="50"/>
      <c r="L84" s="8" t="s">
        <v>186</v>
      </c>
      <c r="M84" s="9"/>
      <c r="N84" s="9"/>
      <c r="O84" s="9" t="s">
        <v>187</v>
      </c>
      <c r="P84" s="10" t="s">
        <v>140</v>
      </c>
      <c r="Q84" s="51"/>
    </row>
    <row r="85" spans="2:17" ht="16" thickBot="1" x14ac:dyDescent="0.25">
      <c r="B85" s="7"/>
      <c r="C85" s="12"/>
      <c r="D85" s="12"/>
      <c r="E85" s="12"/>
      <c r="F85" s="12"/>
      <c r="G85" s="13"/>
      <c r="H85" s="11"/>
      <c r="K85" s="50"/>
      <c r="L85" s="52"/>
      <c r="M85" s="52"/>
      <c r="N85" s="52"/>
      <c r="O85" s="52"/>
      <c r="P85" s="53"/>
      <c r="Q85" s="27"/>
    </row>
    <row r="86" spans="2:17" ht="16" thickBot="1" x14ac:dyDescent="0.25">
      <c r="B86" s="7"/>
      <c r="C86" s="8" t="s">
        <v>138</v>
      </c>
      <c r="D86" s="10"/>
      <c r="E86" s="12"/>
      <c r="F86" s="12"/>
      <c r="G86" s="13"/>
      <c r="H86" s="14"/>
      <c r="K86" s="50"/>
      <c r="L86" s="8" t="s">
        <v>138</v>
      </c>
      <c r="M86" s="10"/>
      <c r="N86" s="52"/>
      <c r="O86" s="52"/>
      <c r="P86" s="53"/>
      <c r="Q86" s="27"/>
    </row>
    <row r="87" spans="2:17" x14ac:dyDescent="0.2">
      <c r="B87" s="7"/>
      <c r="C87" s="12"/>
      <c r="D87" s="1" t="s">
        <v>141</v>
      </c>
      <c r="E87" s="12"/>
      <c r="F87" s="1" t="s">
        <v>142</v>
      </c>
      <c r="G87" s="15">
        <v>22.5</v>
      </c>
      <c r="H87" s="14"/>
      <c r="K87" s="50"/>
      <c r="L87" s="52"/>
      <c r="M87" s="44" t="s">
        <v>143</v>
      </c>
      <c r="N87" s="52"/>
      <c r="O87" s="44" t="s">
        <v>144</v>
      </c>
      <c r="P87" s="54">
        <v>0.19</v>
      </c>
      <c r="Q87" s="55"/>
    </row>
    <row r="88" spans="2:17" x14ac:dyDescent="0.2">
      <c r="B88" s="7"/>
      <c r="C88" s="12"/>
      <c r="D88" s="16" t="s">
        <v>145</v>
      </c>
      <c r="E88" s="12"/>
      <c r="F88" s="1"/>
      <c r="G88" s="17"/>
      <c r="H88" s="18"/>
      <c r="K88" s="50"/>
      <c r="L88" s="52"/>
      <c r="M88" s="16" t="s">
        <v>146</v>
      </c>
      <c r="N88" s="52"/>
      <c r="O88" s="44"/>
      <c r="P88" s="56"/>
      <c r="Q88" s="55"/>
    </row>
    <row r="89" spans="2:17" x14ac:dyDescent="0.2">
      <c r="B89" s="7"/>
      <c r="C89" s="12"/>
      <c r="D89" s="1" t="s">
        <v>147</v>
      </c>
      <c r="E89" s="12"/>
      <c r="F89" s="1" t="s">
        <v>148</v>
      </c>
      <c r="G89" s="19">
        <v>25.6</v>
      </c>
      <c r="H89" s="14"/>
      <c r="K89" s="50"/>
      <c r="L89" s="52"/>
      <c r="M89" s="44" t="s">
        <v>149</v>
      </c>
      <c r="N89" s="52"/>
      <c r="O89" s="44" t="s">
        <v>150</v>
      </c>
      <c r="P89" s="54">
        <v>0.28000000000000003</v>
      </c>
      <c r="Q89" s="57"/>
    </row>
    <row r="90" spans="2:17" x14ac:dyDescent="0.2">
      <c r="B90" s="7"/>
      <c r="C90" s="12"/>
      <c r="D90" s="16" t="s">
        <v>151</v>
      </c>
      <c r="E90" s="12"/>
      <c r="F90" s="1"/>
      <c r="G90" s="17"/>
      <c r="H90" s="14"/>
      <c r="K90" s="50"/>
      <c r="L90" s="52"/>
      <c r="M90" s="16" t="s">
        <v>152</v>
      </c>
      <c r="N90" s="52"/>
      <c r="O90" s="44"/>
      <c r="P90" s="56"/>
      <c r="Q90" s="55"/>
    </row>
    <row r="91" spans="2:17" x14ac:dyDescent="0.2">
      <c r="B91" s="20"/>
      <c r="C91" s="12"/>
      <c r="D91" s="1" t="s">
        <v>153</v>
      </c>
      <c r="E91" s="1"/>
      <c r="F91" s="1" t="s">
        <v>154</v>
      </c>
      <c r="G91" s="15">
        <v>2.5</v>
      </c>
      <c r="H91" s="14"/>
      <c r="K91" s="50"/>
      <c r="L91" s="52"/>
      <c r="M91" s="1" t="s">
        <v>155</v>
      </c>
      <c r="N91" s="52"/>
      <c r="O91" s="44" t="s">
        <v>156</v>
      </c>
      <c r="P91" s="54">
        <f>P89-P87</f>
        <v>9.0000000000000024E-2</v>
      </c>
      <c r="Q91" s="57"/>
    </row>
    <row r="92" spans="2:17" x14ac:dyDescent="0.2">
      <c r="B92" s="7"/>
      <c r="C92" s="12"/>
      <c r="D92" s="16" t="s">
        <v>157</v>
      </c>
      <c r="E92" s="12"/>
      <c r="F92" s="1"/>
      <c r="G92" s="17"/>
      <c r="H92" s="14"/>
      <c r="K92" s="50"/>
      <c r="L92" s="52"/>
      <c r="M92" s="16" t="s">
        <v>158</v>
      </c>
      <c r="N92" s="52"/>
      <c r="O92" s="44"/>
      <c r="P92" s="56"/>
      <c r="Q92" s="57"/>
    </row>
    <row r="93" spans="2:17" x14ac:dyDescent="0.2">
      <c r="B93" s="20"/>
      <c r="C93" s="12"/>
      <c r="D93" s="1" t="s">
        <v>159</v>
      </c>
      <c r="E93" s="1"/>
      <c r="F93" s="1" t="s">
        <v>160</v>
      </c>
      <c r="G93" s="15">
        <v>3</v>
      </c>
      <c r="H93" s="14"/>
      <c r="K93" s="58"/>
      <c r="L93" s="52"/>
      <c r="M93" s="59" t="s">
        <v>161</v>
      </c>
      <c r="N93" s="59"/>
      <c r="O93" s="59" t="s">
        <v>162</v>
      </c>
      <c r="P93" s="15">
        <v>36</v>
      </c>
      <c r="Q93" s="55"/>
    </row>
    <row r="94" spans="2:17" x14ac:dyDescent="0.2">
      <c r="B94" s="7"/>
      <c r="C94" s="12"/>
      <c r="D94" s="16" t="s">
        <v>167</v>
      </c>
      <c r="E94" s="12"/>
      <c r="F94" s="1"/>
      <c r="G94" s="17"/>
      <c r="H94" s="14"/>
      <c r="K94" s="50"/>
      <c r="L94" s="52"/>
      <c r="M94" s="16" t="s">
        <v>164</v>
      </c>
      <c r="N94" s="52"/>
      <c r="O94" s="44"/>
      <c r="P94" s="56"/>
      <c r="Q94" s="55"/>
    </row>
    <row r="95" spans="2:17" x14ac:dyDescent="0.2">
      <c r="B95" s="20"/>
      <c r="C95" s="12"/>
      <c r="D95" s="21" t="s">
        <v>161</v>
      </c>
      <c r="E95" s="21"/>
      <c r="F95" s="21" t="s">
        <v>162</v>
      </c>
      <c r="G95" s="15">
        <v>10</v>
      </c>
      <c r="H95" s="14"/>
      <c r="K95" s="58"/>
      <c r="L95" s="52"/>
      <c r="M95" s="59" t="s">
        <v>165</v>
      </c>
      <c r="N95" s="59"/>
      <c r="O95" s="59" t="s">
        <v>166</v>
      </c>
      <c r="P95" s="15">
        <v>68</v>
      </c>
      <c r="Q95" s="55"/>
    </row>
    <row r="96" spans="2:17" x14ac:dyDescent="0.2">
      <c r="B96" s="7"/>
      <c r="C96" s="12"/>
      <c r="D96" s="16" t="s">
        <v>164</v>
      </c>
      <c r="E96" s="12"/>
      <c r="F96" s="1"/>
      <c r="G96" s="17"/>
      <c r="H96" s="14"/>
      <c r="K96" s="50"/>
      <c r="L96" s="52"/>
      <c r="M96" s="16" t="s">
        <v>167</v>
      </c>
      <c r="N96" s="52"/>
      <c r="O96" s="44"/>
      <c r="P96" s="56"/>
      <c r="Q96" s="55"/>
    </row>
    <row r="97" spans="2:17" ht="16" thickBot="1" x14ac:dyDescent="0.25">
      <c r="B97" s="20"/>
      <c r="C97" s="12"/>
      <c r="D97" s="21" t="s">
        <v>165</v>
      </c>
      <c r="E97" s="21"/>
      <c r="F97" s="21" t="s">
        <v>166</v>
      </c>
      <c r="G97" s="15">
        <v>8</v>
      </c>
      <c r="H97" s="14"/>
      <c r="K97" s="58"/>
      <c r="L97" s="44"/>
      <c r="M97" s="44"/>
      <c r="N97" s="44"/>
      <c r="O97" s="44"/>
      <c r="P97" s="60"/>
      <c r="Q97" s="61"/>
    </row>
    <row r="98" spans="2:17" ht="16" thickBot="1" x14ac:dyDescent="0.25">
      <c r="B98" s="7"/>
      <c r="C98" s="12"/>
      <c r="D98" s="16" t="s">
        <v>167</v>
      </c>
      <c r="E98" s="12"/>
      <c r="F98" s="1"/>
      <c r="G98" s="17"/>
      <c r="H98" s="22"/>
      <c r="K98" s="58"/>
      <c r="L98" s="8" t="s">
        <v>168</v>
      </c>
      <c r="M98" s="62"/>
      <c r="N98" s="44"/>
      <c r="O98" s="44"/>
      <c r="P98" s="60"/>
      <c r="Q98" s="61"/>
    </row>
    <row r="99" spans="2:17" ht="16" thickBot="1" x14ac:dyDescent="0.25">
      <c r="B99" s="20"/>
      <c r="C99" s="1"/>
      <c r="D99" s="1"/>
      <c r="E99" s="1"/>
      <c r="F99" s="1"/>
      <c r="G99" s="23"/>
      <c r="H99" s="22"/>
      <c r="K99" s="50"/>
      <c r="L99" s="52"/>
      <c r="M99" s="44" t="s">
        <v>169</v>
      </c>
      <c r="N99" s="52"/>
      <c r="O99" s="44" t="s">
        <v>170</v>
      </c>
      <c r="P99" s="25">
        <f>NORMSDIST(P105)</f>
        <v>0.85491473566404808</v>
      </c>
      <c r="Q99" s="63"/>
    </row>
    <row r="100" spans="2:17" ht="16" thickBot="1" x14ac:dyDescent="0.25">
      <c r="B100" s="20"/>
      <c r="C100" s="8" t="s">
        <v>168</v>
      </c>
      <c r="D100" s="10"/>
      <c r="E100" s="1"/>
      <c r="F100" s="1"/>
      <c r="G100" s="23"/>
      <c r="H100" s="24"/>
      <c r="K100" s="50"/>
      <c r="L100" s="52"/>
      <c r="M100" s="44" t="s">
        <v>247</v>
      </c>
      <c r="N100" s="52"/>
      <c r="O100" s="59" t="s">
        <v>172</v>
      </c>
      <c r="P100" s="25">
        <f>1-P99</f>
        <v>0.14508526433595192</v>
      </c>
      <c r="Q100" s="63"/>
    </row>
    <row r="101" spans="2:17" x14ac:dyDescent="0.2">
      <c r="B101" s="7"/>
      <c r="C101" s="12"/>
      <c r="D101" s="1" t="s">
        <v>169</v>
      </c>
      <c r="E101" s="12"/>
      <c r="F101" s="1" t="s">
        <v>170</v>
      </c>
      <c r="G101" s="25">
        <f>NORMSDIST(G108)</f>
        <v>0.99166425562012184</v>
      </c>
      <c r="H101" s="24"/>
      <c r="K101" s="58"/>
      <c r="L101" s="44"/>
      <c r="M101" s="59"/>
      <c r="N101" s="59"/>
      <c r="O101" s="59"/>
      <c r="P101" s="64"/>
      <c r="Q101" s="55"/>
    </row>
    <row r="102" spans="2:17" x14ac:dyDescent="0.2">
      <c r="B102" s="7"/>
      <c r="C102" s="12"/>
      <c r="D102" s="1" t="s">
        <v>173</v>
      </c>
      <c r="E102" s="12"/>
      <c r="F102" s="21" t="s">
        <v>172</v>
      </c>
      <c r="G102" s="25">
        <f>1-G101</f>
        <v>8.3357443798781627E-3</v>
      </c>
      <c r="H102" s="14"/>
      <c r="K102" s="28"/>
      <c r="L102" s="29" t="s">
        <v>174</v>
      </c>
      <c r="M102" s="65"/>
      <c r="N102" s="31"/>
      <c r="O102" s="31"/>
      <c r="P102" s="32"/>
      <c r="Q102" s="66"/>
    </row>
    <row r="103" spans="2:17" x14ac:dyDescent="0.2">
      <c r="B103" s="20"/>
      <c r="C103" s="1"/>
      <c r="D103" s="21"/>
      <c r="E103" s="21"/>
      <c r="F103" s="21"/>
      <c r="G103" s="26"/>
      <c r="H103" s="27"/>
      <c r="K103" s="34"/>
      <c r="L103" s="35"/>
      <c r="M103" s="67" t="s">
        <v>175</v>
      </c>
      <c r="N103" s="36"/>
      <c r="O103" s="36" t="s">
        <v>248</v>
      </c>
      <c r="P103" s="37">
        <f>P89-P87</f>
        <v>9.0000000000000024E-2</v>
      </c>
      <c r="Q103" s="38"/>
    </row>
    <row r="104" spans="2:17" x14ac:dyDescent="0.2">
      <c r="B104" s="28"/>
      <c r="C104" s="29" t="s">
        <v>174</v>
      </c>
      <c r="D104" s="30"/>
      <c r="E104" s="31"/>
      <c r="F104" s="31"/>
      <c r="G104" s="32"/>
      <c r="H104" s="33"/>
      <c r="K104" s="34"/>
      <c r="L104" s="35"/>
      <c r="M104" s="67" t="s">
        <v>177</v>
      </c>
      <c r="N104" s="36"/>
      <c r="O104" s="36" t="s">
        <v>178</v>
      </c>
      <c r="P104" s="68">
        <f>SQRT(((P87*(1-P87))/P93)+(P89*(1-P89))/P95)</f>
        <v>8.5086461216535153E-2</v>
      </c>
      <c r="Q104" s="38"/>
    </row>
    <row r="105" spans="2:17" x14ac:dyDescent="0.2">
      <c r="B105" s="34"/>
      <c r="C105" s="35"/>
      <c r="D105" s="36" t="s">
        <v>179</v>
      </c>
      <c r="E105" s="36"/>
      <c r="F105" s="36" t="s">
        <v>156</v>
      </c>
      <c r="G105" s="37">
        <f>ABS(G87-G89)</f>
        <v>3.1000000000000014</v>
      </c>
      <c r="H105" s="38"/>
      <c r="K105" s="34"/>
      <c r="L105" s="36"/>
      <c r="M105" s="36" t="s">
        <v>180</v>
      </c>
      <c r="N105" s="36"/>
      <c r="O105" s="36" t="s">
        <v>181</v>
      </c>
      <c r="P105" s="37">
        <f>P103/P104</f>
        <v>1.0577475983042766</v>
      </c>
      <c r="Q105" s="38"/>
    </row>
    <row r="106" spans="2:17" ht="16" thickBot="1" x14ac:dyDescent="0.25">
      <c r="B106" s="34"/>
      <c r="C106" s="35"/>
      <c r="D106" s="36" t="s">
        <v>249</v>
      </c>
      <c r="E106" s="36"/>
      <c r="F106" s="36" t="s">
        <v>250</v>
      </c>
      <c r="G106" s="37">
        <f>SQRT((((G91^2)*(G95-1))+((G93^2)*(G97-1)))/(G95+G97-2))</f>
        <v>2.7300412084801944</v>
      </c>
      <c r="H106" s="38"/>
      <c r="K106" s="40"/>
      <c r="L106" s="41"/>
      <c r="M106" s="41"/>
      <c r="N106" s="41"/>
      <c r="O106" s="41"/>
      <c r="P106" s="42"/>
      <c r="Q106" s="69"/>
    </row>
    <row r="107" spans="2:17" x14ac:dyDescent="0.2">
      <c r="B107" s="34"/>
      <c r="C107" s="35"/>
      <c r="D107" s="36" t="s">
        <v>177</v>
      </c>
      <c r="E107" s="36"/>
      <c r="F107" s="36" t="s">
        <v>178</v>
      </c>
      <c r="G107" s="37">
        <f>G106*(SQRT(1/G95+1/G97))</f>
        <v>1.2949722487374005</v>
      </c>
      <c r="H107" s="38"/>
    </row>
    <row r="108" spans="2:17" x14ac:dyDescent="0.2">
      <c r="B108" s="34"/>
      <c r="C108" s="36"/>
      <c r="D108" s="36" t="s">
        <v>180</v>
      </c>
      <c r="E108" s="36"/>
      <c r="F108" s="36" t="s">
        <v>182</v>
      </c>
      <c r="G108" s="37">
        <f>G105/G107</f>
        <v>2.3938736934498057</v>
      </c>
      <c r="H108" s="39"/>
    </row>
    <row r="109" spans="2:17" ht="16" thickBot="1" x14ac:dyDescent="0.25">
      <c r="B109" s="40"/>
      <c r="C109" s="41"/>
      <c r="D109" s="41"/>
      <c r="E109" s="41"/>
      <c r="F109" s="41"/>
      <c r="G109" s="42"/>
      <c r="H109" s="43"/>
    </row>
  </sheetData>
  <mergeCells count="8">
    <mergeCell ref="B1:H1"/>
    <mergeCell ref="K1:Q1"/>
    <mergeCell ref="B42:H42"/>
    <mergeCell ref="K42:Q42"/>
    <mergeCell ref="K82:Q82"/>
    <mergeCell ref="B82:H82"/>
    <mergeCell ref="B3:H3"/>
    <mergeCell ref="K3:Q3"/>
  </mergeCells>
  <conditionalFormatting sqref="H28:H29 G79:G80 H80">
    <cfRule type="expression" dxfId="1" priority="1" stopIfTrue="1">
      <formula>#REF!=FALSE</formula>
    </cfRule>
  </conditionalFormatting>
  <conditionalFormatting sqref="Q26:Q27 P81:Q81">
    <cfRule type="expression" dxfId="0" priority="2" stopIfTrue="1">
      <formula>#REF!=FALSE</formula>
    </cfRule>
  </conditionalFormatting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8 a 1 b 1 2 - 1 0 4 a - 4 8 0 1 - 8 6 2 e - d 1 3 3 e 8 9 9 1 6 b c "   x m l n s = " h t t p : / / s c h e m a s . m i c r o s o f t . c o m / D a t a M a s h u p " > A A A A A B Q D A A B Q S w M E F A A C A A g A O X u F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O X u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7 h V U o i k e 4 D g A A A B E A A A A T A B w A R m 9 y b X V s Y X M v U 2 V j d G l v b j E u b S C i G A A o o B Q A A A A A A A A A A A A A A A A A A A A A A A A A A A A r T k 0 u y c z P U w i G 0 I b W A F B L A Q I t A B Q A A g A I A D l 7 h V W H I L 8 k p A A A A P U A A A A S A A A A A A A A A A A A A A A A A A A A A A B D b 2 5 m a W c v U G F j a 2 F n Z S 5 4 b W x Q S w E C L Q A U A A I A C A A 5 e 4 V V D 8 r p q 6 Q A A A D p A A A A E w A A A A A A A A A A A A A A A A D w A A A A W 0 N v b n R l b n R f V H l w Z X N d L n h t b F B L A Q I t A B Q A A g A I A D l 7 h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p v + b R 2 r + R R p u T v v D O b i S 7 A A A A A A I A A A A A A A N m A A D A A A A A E A A A A N K n + 2 C e X h 2 X U w i s Y i o x 8 e w A A A A A B I A A A K A A A A A Q A A A A u J N I v F w D x R n k a v e T i 4 n 2 P 1 A A A A A e e S O W J J 8 B n 2 9 a g I A o M u 0 x 0 O X T G E p u K L e h M / s D d A e r r P y 7 6 g r R B A k h S r E P 3 9 J g o a K x u d l o o I B z m Y v 6 4 l G t l c + s i f W C b b u W 2 / 8 v J v J t t b H j w R Q A A A A h 3 U + m X A q / z u E H x p y E B 4 z w d H 7 v P g = = < / D a t a M a s h u p > 
</file>

<file path=customXml/itemProps1.xml><?xml version="1.0" encoding="utf-8"?>
<ds:datastoreItem xmlns:ds="http://schemas.openxmlformats.org/officeDocument/2006/customXml" ds:itemID="{D6180454-4801-46B2-A2A9-8A70F3DA3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rebal</vt:lpstr>
      <vt:lpstr>AA</vt:lpstr>
      <vt:lpstr>AB</vt:lpstr>
      <vt:lpstr>Age Groups</vt:lpstr>
      <vt:lpstr>Devices</vt:lpstr>
      <vt:lpstr>StatSig</vt:lpstr>
      <vt:lpstr>StatSig_aa</vt:lpstr>
      <vt:lpstr>ref_statSig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 Kosowski</dc:creator>
  <cp:keywords/>
  <dc:description/>
  <cp:lastModifiedBy>Fountain, Robyn (ETW Others Insight Global)</cp:lastModifiedBy>
  <cp:revision/>
  <dcterms:created xsi:type="dcterms:W3CDTF">2022-05-03T17:19:38Z</dcterms:created>
  <dcterms:modified xsi:type="dcterms:W3CDTF">2024-02-08T00:46:59Z</dcterms:modified>
  <cp:category/>
  <cp:contentStatus/>
</cp:coreProperties>
</file>