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8ce1be070a3e58/Documents/"/>
    </mc:Choice>
  </mc:AlternateContent>
  <xr:revisionPtr revIDLastSave="0" documentId="8_{FA966328-3810-4C76-8A7F-C2F12B387B33}" xr6:coauthVersionLast="47" xr6:coauthVersionMax="47" xr10:uidLastSave="{00000000-0000-0000-0000-000000000000}"/>
  <bookViews>
    <workbookView minimized="1" xWindow="-20520" yWindow="6195" windowWidth="7500" windowHeight="6000" firstSheet="4" activeTab="4" xr2:uid="{03EAF88E-D3E0-4CE8-AE1F-796F2519FA65}"/>
  </bookViews>
  <sheets>
    <sheet name="Sugar" sheetId="1" r:id="rId1"/>
    <sheet name="Coffee" sheetId="2" r:id="rId2"/>
    <sheet name="Aluminum" sheetId="3" r:id="rId3"/>
    <sheet name="Soybean" sheetId="4" r:id="rId4"/>
    <sheet name="Soybean Oil" sheetId="5" r:id="rId5"/>
    <sheet name="Cotton" sheetId="6" r:id="rId6"/>
    <sheet name="Corn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7" l="1"/>
  <c r="E7" i="7"/>
  <c r="D8" i="7"/>
  <c r="D7" i="7"/>
  <c r="C8" i="7"/>
  <c r="C7" i="7"/>
  <c r="E8" i="6"/>
  <c r="E7" i="6"/>
  <c r="D8" i="6"/>
  <c r="D7" i="6"/>
  <c r="C8" i="6"/>
  <c r="C7" i="6"/>
  <c r="E8" i="5"/>
  <c r="E7" i="5"/>
  <c r="D8" i="5"/>
  <c r="D7" i="5"/>
  <c r="C8" i="5"/>
  <c r="C7" i="5"/>
  <c r="E8" i="4"/>
  <c r="E7" i="4"/>
  <c r="D8" i="4"/>
  <c r="D7" i="4"/>
  <c r="C8" i="4"/>
  <c r="C7" i="4"/>
  <c r="E8" i="3"/>
  <c r="E7" i="3"/>
  <c r="D8" i="3"/>
  <c r="D7" i="3"/>
  <c r="C8" i="3"/>
  <c r="C7" i="3"/>
  <c r="E8" i="1"/>
  <c r="E7" i="1"/>
  <c r="D8" i="1"/>
  <c r="D7" i="1"/>
  <c r="C8" i="1"/>
  <c r="C7" i="1"/>
  <c r="C8" i="2"/>
  <c r="C7" i="2"/>
  <c r="D8" i="2"/>
  <c r="D7" i="2"/>
  <c r="E8" i="2"/>
  <c r="E7" i="2"/>
  <c r="H7" i="7"/>
  <c r="G7" i="7"/>
  <c r="H8" i="6"/>
  <c r="H7" i="6"/>
  <c r="G8" i="6"/>
  <c r="G7" i="6"/>
  <c r="H8" i="7"/>
  <c r="G8" i="7"/>
  <c r="G8" i="5"/>
  <c r="G7" i="5"/>
  <c r="F8" i="5"/>
  <c r="F7" i="5"/>
  <c r="H8" i="4"/>
  <c r="H7" i="4"/>
  <c r="G8" i="4"/>
  <c r="G7" i="4"/>
  <c r="I8" i="2"/>
  <c r="I7" i="2"/>
  <c r="H8" i="2"/>
  <c r="H7" i="2"/>
  <c r="G8" i="2"/>
  <c r="G7" i="2"/>
  <c r="I8" i="3"/>
  <c r="I7" i="3"/>
  <c r="H7" i="3"/>
  <c r="H8" i="3"/>
  <c r="G8" i="3"/>
  <c r="G7" i="3"/>
  <c r="I7" i="1"/>
  <c r="H8" i="1"/>
  <c r="H7" i="1"/>
  <c r="R3" i="1"/>
</calcChain>
</file>

<file path=xl/sharedStrings.xml><?xml version="1.0" encoding="utf-8"?>
<sst xmlns="http://schemas.openxmlformats.org/spreadsheetml/2006/main" count="157" uniqueCount="54">
  <si>
    <t>Models</t>
  </si>
  <si>
    <t>Performance Metrics</t>
  </si>
  <si>
    <t>GARCH(1,1)(0,0)</t>
  </si>
  <si>
    <t>ARIMA(6,0,7) - manual</t>
  </si>
  <si>
    <t>ARIMA(3,1,3) - auto</t>
  </si>
  <si>
    <t>SARIMA(3,1,1)</t>
  </si>
  <si>
    <t>GARCH(1,1)(1,0)</t>
  </si>
  <si>
    <t>eGARCH</t>
  </si>
  <si>
    <t>ARIMA(2,1,2)</t>
  </si>
  <si>
    <t>ARIMA(2,1,3)</t>
  </si>
  <si>
    <t>ARIMA(recent)(0,2,0)</t>
  </si>
  <si>
    <t>ETS</t>
  </si>
  <si>
    <t>LSTM</t>
  </si>
  <si>
    <t>Standard Errors</t>
  </si>
  <si>
    <t>RMSE</t>
  </si>
  <si>
    <t>MAE</t>
  </si>
  <si>
    <t>Information Criterea</t>
  </si>
  <si>
    <t>AIC(Akaike)</t>
  </si>
  <si>
    <t>BIC(Bayes)</t>
  </si>
  <si>
    <t>Robust Standard Errors</t>
  </si>
  <si>
    <t>MU</t>
  </si>
  <si>
    <t>omega</t>
  </si>
  <si>
    <t>alpha1</t>
  </si>
  <si>
    <t>beta1</t>
  </si>
  <si>
    <t>GARCH(1,1)</t>
  </si>
  <si>
    <t>ARIMA(0,1,2) - auto</t>
  </si>
  <si>
    <t xml:space="preserve">SARIMA(2,1,3) </t>
  </si>
  <si>
    <t>ARIMA(4,1,4)</t>
  </si>
  <si>
    <t>ARIMA(4,1,5)</t>
  </si>
  <si>
    <t>ARIMA(recent)(2,1,6)</t>
  </si>
  <si>
    <t>ARIMA(2,1,3) - manual</t>
  </si>
  <si>
    <t>ARIMA(2,0,3) - auto</t>
  </si>
  <si>
    <t>SARIMA(2,0,0)(2,0,0)[12]</t>
  </si>
  <si>
    <t>ARIMA(3,1,3)</t>
  </si>
  <si>
    <t>ARIMA(3,1,2)</t>
  </si>
  <si>
    <t>ARIMA(recent)(2,1,1)</t>
  </si>
  <si>
    <t>ARIMA(2,1,6) - manual</t>
  </si>
  <si>
    <t>ARIMA(2,1,1) - auto</t>
  </si>
  <si>
    <t>SARIMA(1,1,3)</t>
  </si>
  <si>
    <t>ARIMA(3,1,5)</t>
  </si>
  <si>
    <t>ARIMA(recent)(1,0,6)</t>
  </si>
  <si>
    <t>ARIMA(3,1,4) - manual</t>
  </si>
  <si>
    <t>ARIMA(1,1,2)(0,0,2)[12] - auto</t>
  </si>
  <si>
    <t>SARIMA(1,1,2)(2,0,0)[12]</t>
  </si>
  <si>
    <t>ARIMA(3,1,4)</t>
  </si>
  <si>
    <t>ARIMA(recent)(1,1,1)</t>
  </si>
  <si>
    <t>ARIMA(9,0,4) - manual</t>
  </si>
  <si>
    <t>ARIMA(1,1,0)(2,0,0)[12] - auto</t>
  </si>
  <si>
    <t>SARIMA(3,1,2)</t>
  </si>
  <si>
    <t>ARIMA(4,0,6)</t>
  </si>
  <si>
    <t>ARIMA(3,1,5) - manual</t>
  </si>
  <si>
    <t>ARIMA(0,1,1)(0,0,1)[12] - auto</t>
  </si>
  <si>
    <t>SARIMA(2,1,3)</t>
  </si>
  <si>
    <t>ARIMA(recent)(3,1,1)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</si>
</sst>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Courier New"/>
      <charset val="1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C353-A335-4119-9EB4-5BF0541FC55D}">
  <dimension ref="A1:R13"/>
  <sheetViews>
    <sheetView topLeftCell="A24" workbookViewId="0">
      <selection activeCell="L11" sqref="L11"/>
    </sheetView>
  </sheetViews>
  <sheetFormatPr defaultRowHeight="15"/>
  <cols>
    <col min="1" max="1" width="22.7109375" customWidth="1"/>
    <col min="2" max="2" width="15.28515625" bestFit="1" customWidth="1"/>
    <col min="3" max="3" width="21" bestFit="1" customWidth="1"/>
    <col min="4" max="4" width="18.42578125" bestFit="1" customWidth="1"/>
    <col min="5" max="5" width="13.7109375" bestFit="1" customWidth="1"/>
    <col min="6" max="6" width="15.28515625" bestFit="1" customWidth="1"/>
    <col min="8" max="9" width="12.5703125" bestFit="1" customWidth="1"/>
    <col min="10" max="10" width="20" bestFit="1" customWidth="1"/>
  </cols>
  <sheetData>
    <row r="1" spans="1:18" ht="26.25"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8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/>
      <c r="N2" s="2"/>
      <c r="O2" s="2"/>
      <c r="P2" s="2"/>
    </row>
    <row r="3" spans="1:18">
      <c r="A3" s="3" t="s">
        <v>13</v>
      </c>
      <c r="R3">
        <f>12*30</f>
        <v>360</v>
      </c>
    </row>
    <row r="4" spans="1:18">
      <c r="A4" t="s">
        <v>14</v>
      </c>
      <c r="B4">
        <v>2.5000000000000001E-2</v>
      </c>
      <c r="C4">
        <v>1.5405520000000001E-2</v>
      </c>
      <c r="D4">
        <v>1.5831620000000001E-2</v>
      </c>
      <c r="E4">
        <v>1.5938790000000001E-2</v>
      </c>
      <c r="F4">
        <v>1.7000000000000001E-2</v>
      </c>
      <c r="G4">
        <v>1.7000000000000001E-2</v>
      </c>
      <c r="H4">
        <v>1.06E-2</v>
      </c>
      <c r="I4">
        <v>1.06E-2</v>
      </c>
      <c r="J4">
        <v>1.1299999999999999E-2</v>
      </c>
      <c r="K4">
        <v>1.14E-2</v>
      </c>
      <c r="L4" s="5">
        <v>5.7000000000000002E-2</v>
      </c>
    </row>
    <row r="5" spans="1:18">
      <c r="A5" t="s">
        <v>15</v>
      </c>
      <c r="B5">
        <v>2.1999999999999999E-2</v>
      </c>
      <c r="C5">
        <v>8.8585999999999995E-3</v>
      </c>
      <c r="D5">
        <v>8.9200519999999995E-3</v>
      </c>
      <c r="E5">
        <v>8.9193599999999994E-3</v>
      </c>
      <c r="F5">
        <v>1.4E-2</v>
      </c>
      <c r="G5">
        <v>2.2100000000000002E-2</v>
      </c>
      <c r="H5">
        <v>7.4999999999999997E-3</v>
      </c>
      <c r="I5">
        <v>7.4999999999999997E-3</v>
      </c>
      <c r="J5">
        <v>8.5000000000000006E-3</v>
      </c>
      <c r="K5">
        <v>7.8100000000000001E-3</v>
      </c>
      <c r="L5" s="5">
        <v>4.8800000000000003E-2</v>
      </c>
    </row>
    <row r="6" spans="1:18">
      <c r="A6" s="3" t="s">
        <v>16</v>
      </c>
    </row>
    <row r="7" spans="1:18">
      <c r="A7" t="s">
        <v>17</v>
      </c>
      <c r="B7">
        <v>-4.0999999999999996</v>
      </c>
      <c r="C7">
        <f>-3546.75/650</f>
        <v>-5.4565384615384618</v>
      </c>
      <c r="D7">
        <f>-3523.96/650</f>
        <v>-5.4214769230769235</v>
      </c>
      <c r="E7">
        <f>-3519.4/650</f>
        <v>-5.4144615384615387</v>
      </c>
      <c r="F7">
        <v>-4.0999999999999996</v>
      </c>
      <c r="G7">
        <v>-4.0999999999999996</v>
      </c>
      <c r="H7">
        <f>-2246.069/362</f>
        <v>-6.2046104972375691</v>
      </c>
      <c r="I7">
        <f>-2244.505/362</f>
        <v>-6.2002900552486189</v>
      </c>
    </row>
    <row r="8" spans="1:18">
      <c r="A8" t="s">
        <v>18</v>
      </c>
      <c r="B8">
        <v>-4.09</v>
      </c>
      <c r="C8">
        <f>-3479.59/650</f>
        <v>-5.3532153846153845</v>
      </c>
      <c r="D8">
        <f>-3492.63/650</f>
        <v>-5.3732769230769231</v>
      </c>
      <c r="E8">
        <f>-3497.03/650</f>
        <v>-5.3800461538461546</v>
      </c>
      <c r="F8">
        <v>-4.09</v>
      </c>
      <c r="G8">
        <v>-4.09</v>
      </c>
      <c r="H8">
        <f>-2226.736/362</f>
        <v>-6.1512044198895026</v>
      </c>
      <c r="I8">
        <v>-2221.172</v>
      </c>
    </row>
    <row r="9" spans="1:18">
      <c r="A9" s="3" t="s">
        <v>19</v>
      </c>
    </row>
    <row r="10" spans="1:18">
      <c r="A10" t="s">
        <v>20</v>
      </c>
      <c r="B10">
        <v>0.11</v>
      </c>
      <c r="F10">
        <v>0.11</v>
      </c>
      <c r="G10">
        <v>0.11</v>
      </c>
    </row>
    <row r="11" spans="1:18">
      <c r="A11" t="s">
        <v>21</v>
      </c>
      <c r="B11">
        <v>5.1E-5</v>
      </c>
      <c r="F11">
        <v>5.1E-5</v>
      </c>
      <c r="G11">
        <v>5.1E-5</v>
      </c>
    </row>
    <row r="12" spans="1:18">
      <c r="A12" t="s">
        <v>22</v>
      </c>
      <c r="B12">
        <v>0.97699999999999998</v>
      </c>
      <c r="F12">
        <v>0.97699999999999998</v>
      </c>
      <c r="G12">
        <v>0.97699999999999998</v>
      </c>
    </row>
    <row r="13" spans="1:18">
      <c r="A13" t="s">
        <v>23</v>
      </c>
      <c r="B13">
        <v>2.1000000000000001E-2</v>
      </c>
      <c r="F13">
        <v>2.1000000000000001E-2</v>
      </c>
      <c r="G13">
        <v>2.1000000000000001E-2</v>
      </c>
    </row>
  </sheetData>
  <mergeCells count="1">
    <mergeCell ref="B1:P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F202A-8518-46FE-9C4D-AC32167ED3B1}">
  <dimension ref="A1:P13"/>
  <sheetViews>
    <sheetView workbookViewId="0">
      <selection activeCell="K6" sqref="K6"/>
    </sheetView>
  </sheetViews>
  <sheetFormatPr defaultRowHeight="15"/>
  <cols>
    <col min="1" max="1" width="21.42578125" bestFit="1" customWidth="1"/>
    <col min="2" max="2" width="17" customWidth="1"/>
    <col min="3" max="3" width="21" bestFit="1" customWidth="1"/>
    <col min="4" max="4" width="18.42578125" bestFit="1" customWidth="1"/>
    <col min="5" max="5" width="14.140625" bestFit="1" customWidth="1"/>
    <col min="6" max="6" width="15.28515625" bestFit="1" customWidth="1"/>
    <col min="7" max="8" width="12.5703125" bestFit="1" customWidth="1"/>
    <col min="9" max="10" width="20" bestFit="1" customWidth="1"/>
  </cols>
  <sheetData>
    <row r="1" spans="1:16" ht="26.25"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1" t="s">
        <v>1</v>
      </c>
      <c r="B2" s="2" t="s">
        <v>24</v>
      </c>
      <c r="C2" s="2" t="s">
        <v>3</v>
      </c>
      <c r="D2" s="2" t="s">
        <v>25</v>
      </c>
      <c r="E2" s="2" t="s">
        <v>26</v>
      </c>
      <c r="F2" s="2" t="s">
        <v>6</v>
      </c>
      <c r="G2" s="2" t="s">
        <v>27</v>
      </c>
      <c r="H2" s="2" t="s">
        <v>28</v>
      </c>
      <c r="I2" s="2" t="s">
        <v>29</v>
      </c>
      <c r="J2" s="2" t="s">
        <v>11</v>
      </c>
      <c r="K2" s="2" t="s">
        <v>12</v>
      </c>
      <c r="L2" s="2"/>
      <c r="M2" s="2"/>
      <c r="N2" s="2"/>
      <c r="O2" s="2"/>
      <c r="P2" s="2"/>
    </row>
    <row r="3" spans="1:16">
      <c r="A3" s="3" t="s">
        <v>13</v>
      </c>
    </row>
    <row r="4" spans="1:16">
      <c r="A4" t="s">
        <v>14</v>
      </c>
      <c r="B4">
        <v>0.63219999999999998</v>
      </c>
      <c r="C4">
        <v>0.1122581</v>
      </c>
      <c r="D4">
        <v>0.116047</v>
      </c>
      <c r="E4">
        <v>0.114928</v>
      </c>
      <c r="F4">
        <v>0.96220000000000006</v>
      </c>
      <c r="G4">
        <v>0.1113</v>
      </c>
      <c r="H4">
        <v>0.11020000000000001</v>
      </c>
      <c r="I4">
        <v>0.10038999999999999</v>
      </c>
      <c r="J4">
        <v>0.1147</v>
      </c>
      <c r="K4" s="8">
        <v>0.44330000000000003</v>
      </c>
    </row>
    <row r="5" spans="1:16">
      <c r="A5" t="s">
        <v>15</v>
      </c>
      <c r="B5">
        <v>0.63190000000000002</v>
      </c>
      <c r="C5">
        <v>7.9601649999999996E-2</v>
      </c>
      <c r="D5">
        <v>8.0525540000000007E-2</v>
      </c>
      <c r="E5">
        <v>8.0274429999999994E-2</v>
      </c>
      <c r="F5">
        <v>0.95230000000000004</v>
      </c>
      <c r="G5">
        <v>7.7160000000000006E-2</v>
      </c>
      <c r="H5">
        <v>7.7929999999999999E-2</v>
      </c>
      <c r="I5">
        <v>7.5499999999999998E-2</v>
      </c>
      <c r="J5">
        <v>7.8E-2</v>
      </c>
      <c r="K5" s="8">
        <v>0.3009</v>
      </c>
    </row>
    <row r="6" spans="1:16">
      <c r="A6" s="3" t="s">
        <v>16</v>
      </c>
    </row>
    <row r="7" spans="1:16">
      <c r="A7" t="s">
        <v>17</v>
      </c>
      <c r="B7">
        <v>0.28000000000000003</v>
      </c>
      <c r="C7">
        <f>-876.66/595</f>
        <v>-1.4733781512605042</v>
      </c>
      <c r="D7">
        <f>-865.91/595</f>
        <v>-1.4553109243697477</v>
      </c>
      <c r="E7">
        <f>-870.95/595</f>
        <v>-1.4637815126050422</v>
      </c>
      <c r="F7">
        <v>-1.82</v>
      </c>
      <c r="G7">
        <f>540/362</f>
        <v>1.4917127071823204</v>
      </c>
      <c r="H7">
        <f>545/362</f>
        <v>1.5055248618784531</v>
      </c>
      <c r="I7">
        <f>254/146</f>
        <v>1.7397260273972603</v>
      </c>
    </row>
    <row r="8" spans="1:16">
      <c r="A8" t="s">
        <v>18</v>
      </c>
      <c r="B8">
        <v>0.34</v>
      </c>
      <c r="C8">
        <f>-810.83/595</f>
        <v>-1.3627394957983194</v>
      </c>
      <c r="D8">
        <f>-852.75/595</f>
        <v>-1.4331932773109244</v>
      </c>
      <c r="E8">
        <f>-844.63/595</f>
        <v>-1.419546218487395</v>
      </c>
      <c r="F8">
        <v>-1.76</v>
      </c>
      <c r="G8">
        <f>505/362</f>
        <v>1.3950276243093922</v>
      </c>
      <c r="H8">
        <f>506/362</f>
        <v>1.3977900552486189</v>
      </c>
      <c r="I8">
        <f>226/146</f>
        <v>1.547945205479452</v>
      </c>
    </row>
    <row r="9" spans="1:16">
      <c r="A9" s="3" t="s">
        <v>19</v>
      </c>
    </row>
    <row r="10" spans="1:16">
      <c r="A10" t="s">
        <v>20</v>
      </c>
      <c r="B10">
        <v>1.1636</v>
      </c>
      <c r="F10">
        <v>0.68500000000000005</v>
      </c>
    </row>
    <row r="11" spans="1:16">
      <c r="A11" t="s">
        <v>21</v>
      </c>
      <c r="B11">
        <v>6.3200000000000001E-3</v>
      </c>
      <c r="F11">
        <v>1.1019999999999999E-3</v>
      </c>
    </row>
    <row r="12" spans="1:16">
      <c r="A12" t="s">
        <v>22</v>
      </c>
      <c r="B12">
        <v>0.96299999999999997</v>
      </c>
      <c r="F12">
        <v>0.3135</v>
      </c>
    </row>
    <row r="13" spans="1:16">
      <c r="A13" t="s">
        <v>23</v>
      </c>
      <c r="B13">
        <v>3.5000000000000003E-2</v>
      </c>
      <c r="F13">
        <v>0.65239999999999998</v>
      </c>
    </row>
  </sheetData>
  <mergeCells count="1">
    <mergeCell ref="B1:P1"/>
  </mergeCells>
  <pageMargins left="0.7" right="0.7" top="0.75" bottom="0.75" header="0.3" footer="0.3"/>
  <ignoredErrors>
    <ignoredError sqref="H7:H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AD3A2-6FC5-4174-A073-CFA6B5D05E8A}">
  <dimension ref="A1:P13"/>
  <sheetViews>
    <sheetView workbookViewId="0">
      <selection activeCell="M5" sqref="M5"/>
    </sheetView>
  </sheetViews>
  <sheetFormatPr defaultRowHeight="15"/>
  <cols>
    <col min="1" max="1" width="21.42578125" bestFit="1" customWidth="1"/>
    <col min="2" max="2" width="15.28515625" bestFit="1" customWidth="1"/>
    <col min="3" max="3" width="21" bestFit="1" customWidth="1"/>
    <col min="4" max="4" width="18.42578125" bestFit="1" customWidth="1"/>
    <col min="5" max="5" width="23" bestFit="1" customWidth="1"/>
    <col min="6" max="6" width="15.28515625" bestFit="1" customWidth="1"/>
    <col min="7" max="8" width="12.5703125" bestFit="1" customWidth="1"/>
    <col min="9" max="9" width="20" bestFit="1" customWidth="1"/>
    <col min="11" max="11" width="9.28515625" bestFit="1" customWidth="1"/>
  </cols>
  <sheetData>
    <row r="1" spans="1:16" ht="26.25"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1" t="s">
        <v>1</v>
      </c>
      <c r="B2" s="2" t="s">
        <v>2</v>
      </c>
      <c r="C2" s="2" t="s">
        <v>30</v>
      </c>
      <c r="D2" s="2" t="s">
        <v>31</v>
      </c>
      <c r="E2" s="2" t="s">
        <v>32</v>
      </c>
      <c r="F2" s="2" t="s">
        <v>6</v>
      </c>
      <c r="G2" s="2" t="s">
        <v>33</v>
      </c>
      <c r="H2" s="2" t="s">
        <v>34</v>
      </c>
      <c r="I2" s="2" t="s">
        <v>35</v>
      </c>
      <c r="J2" s="2" t="s">
        <v>11</v>
      </c>
      <c r="K2" s="2" t="s">
        <v>12</v>
      </c>
      <c r="L2" s="2"/>
      <c r="M2" s="2"/>
      <c r="N2" s="2"/>
      <c r="O2" s="2"/>
      <c r="P2" s="2"/>
    </row>
    <row r="3" spans="1:16">
      <c r="A3" s="3" t="s">
        <v>13</v>
      </c>
    </row>
    <row r="4" spans="1:16">
      <c r="A4" t="s">
        <v>14</v>
      </c>
      <c r="B4">
        <v>2216.88</v>
      </c>
      <c r="C4">
        <v>108.46720000000001</v>
      </c>
      <c r="D4">
        <v>106.0232</v>
      </c>
      <c r="E4">
        <v>105.2336</v>
      </c>
      <c r="F4">
        <v>1276.58</v>
      </c>
      <c r="G4">
        <v>106.13</v>
      </c>
      <c r="H4">
        <v>107.4307</v>
      </c>
      <c r="I4">
        <v>117.40170000000001</v>
      </c>
      <c r="J4">
        <v>111.0128</v>
      </c>
      <c r="K4">
        <v>492.53660000000002</v>
      </c>
    </row>
    <row r="5" spans="1:16">
      <c r="A5" t="s">
        <v>15</v>
      </c>
      <c r="B5">
        <v>2216.5500000000002</v>
      </c>
      <c r="C5">
        <v>79.762600000000006</v>
      </c>
      <c r="D5">
        <v>78.759219999999999</v>
      </c>
      <c r="E5">
        <v>77.118769999999998</v>
      </c>
      <c r="F5">
        <v>1332.44</v>
      </c>
      <c r="G5">
        <v>77.148300000000006</v>
      </c>
      <c r="H5">
        <v>79.046779999999998</v>
      </c>
      <c r="I5">
        <v>87.070359999999994</v>
      </c>
      <c r="J5">
        <v>80.24436</v>
      </c>
      <c r="K5" s="5">
        <v>420.10469999999998</v>
      </c>
    </row>
    <row r="6" spans="1:16">
      <c r="A6" s="3" t="s">
        <v>16</v>
      </c>
    </row>
    <row r="7" spans="1:16">
      <c r="A7" t="s">
        <v>17</v>
      </c>
      <c r="B7">
        <v>20.190999999999999</v>
      </c>
      <c r="C7">
        <f>2992.52/245</f>
        <v>12.214367346938776</v>
      </c>
      <c r="D7">
        <f>2997.78/245</f>
        <v>12.235836734693878</v>
      </c>
      <c r="E7">
        <f>2992.64/245</f>
        <v>12.214857142857142</v>
      </c>
      <c r="F7">
        <v>12.005000000000001</v>
      </c>
      <c r="G7">
        <f>2988.13/362</f>
        <v>8.2545027624309402</v>
      </c>
      <c r="H7">
        <f>2988.13/362</f>
        <v>8.2545027624309402</v>
      </c>
      <c r="I7">
        <f>603/38</f>
        <v>15.868421052631579</v>
      </c>
    </row>
    <row r="8" spans="1:16">
      <c r="A8" t="s">
        <v>18</v>
      </c>
      <c r="B8">
        <v>20.262</v>
      </c>
      <c r="C8">
        <f>3013.51/245</f>
        <v>12.300040816326531</v>
      </c>
      <c r="D8">
        <f>3022.29/245</f>
        <v>12.335877551020408</v>
      </c>
      <c r="E8">
        <f>3013.65/245</f>
        <v>12.300612244897959</v>
      </c>
      <c r="F8">
        <v>12.090999999999999</v>
      </c>
      <c r="G8">
        <f>3012.5/362</f>
        <v>8.3218232044198892</v>
      </c>
      <c r="H8">
        <f>3012.5/362</f>
        <v>8.3218232044198892</v>
      </c>
      <c r="I8">
        <f>603/38</f>
        <v>15.868421052631579</v>
      </c>
    </row>
    <row r="9" spans="1:16">
      <c r="A9" s="3" t="s">
        <v>19</v>
      </c>
    </row>
    <row r="10" spans="1:16">
      <c r="A10" t="s">
        <v>20</v>
      </c>
      <c r="B10">
        <v>4.7009999999999999E-4</v>
      </c>
      <c r="F10">
        <v>2481.61</v>
      </c>
    </row>
    <row r="11" spans="1:16">
      <c r="A11" t="s">
        <v>21</v>
      </c>
      <c r="B11">
        <v>2.1399999999999998E-6</v>
      </c>
      <c r="F11">
        <v>485.14</v>
      </c>
    </row>
    <row r="12" spans="1:16">
      <c r="A12" t="s">
        <v>22</v>
      </c>
      <c r="B12" s="4">
        <v>0.58513000000000004</v>
      </c>
      <c r="F12">
        <v>0.24299999999999999</v>
      </c>
    </row>
    <row r="13" spans="1:16">
      <c r="A13" t="s">
        <v>23</v>
      </c>
      <c r="B13" s="4">
        <v>8.5444999999999993</v>
      </c>
      <c r="F13">
        <v>0.73399999999999999</v>
      </c>
    </row>
  </sheetData>
  <mergeCells count="1">
    <mergeCell ref="B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E96A-5309-4EAA-8E20-59BC9BC45BFC}">
  <dimension ref="A1:P13"/>
  <sheetViews>
    <sheetView workbookViewId="0">
      <selection activeCell="L8" sqref="L8"/>
    </sheetView>
  </sheetViews>
  <sheetFormatPr defaultRowHeight="15"/>
  <cols>
    <col min="1" max="1" width="21.42578125" bestFit="1" customWidth="1"/>
    <col min="2" max="2" width="15.28515625" bestFit="1" customWidth="1"/>
    <col min="3" max="3" width="21" bestFit="1" customWidth="1"/>
    <col min="4" max="4" width="18.42578125" bestFit="1" customWidth="1"/>
    <col min="5" max="5" width="13.7109375" bestFit="1" customWidth="1"/>
    <col min="6" max="6" width="15.28515625" bestFit="1" customWidth="1"/>
    <col min="7" max="7" width="12.5703125" bestFit="1" customWidth="1"/>
    <col min="8" max="9" width="20" bestFit="1" customWidth="1"/>
  </cols>
  <sheetData>
    <row r="1" spans="1:16" ht="26.25"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1" t="s">
        <v>1</v>
      </c>
      <c r="B2" s="2" t="s">
        <v>2</v>
      </c>
      <c r="C2" s="2" t="s">
        <v>36</v>
      </c>
      <c r="D2" s="2" t="s">
        <v>37</v>
      </c>
      <c r="E2" s="2" t="s">
        <v>38</v>
      </c>
      <c r="F2" s="2" t="s">
        <v>6</v>
      </c>
      <c r="G2" s="2" t="s">
        <v>39</v>
      </c>
      <c r="H2" s="2" t="s">
        <v>40</v>
      </c>
      <c r="I2" s="2" t="s">
        <v>11</v>
      </c>
      <c r="J2" s="2" t="s">
        <v>12</v>
      </c>
      <c r="K2" s="2"/>
      <c r="L2" s="2"/>
      <c r="M2" s="2"/>
      <c r="N2" s="2"/>
      <c r="O2" s="2"/>
      <c r="P2" s="2"/>
    </row>
    <row r="3" spans="1:16">
      <c r="A3" s="3" t="s">
        <v>13</v>
      </c>
    </row>
    <row r="4" spans="1:16">
      <c r="A4" t="s">
        <v>14</v>
      </c>
      <c r="B4">
        <v>5.1922000000000003E-2</v>
      </c>
      <c r="C4">
        <v>0.48452489999999998</v>
      </c>
      <c r="D4">
        <v>0.48734719999999998</v>
      </c>
      <c r="E4">
        <v>0.48588569999999998</v>
      </c>
      <c r="F4">
        <v>8.93</v>
      </c>
      <c r="G4">
        <v>0.5071</v>
      </c>
      <c r="H4">
        <v>0.502</v>
      </c>
      <c r="I4">
        <v>0.54100000000000004</v>
      </c>
      <c r="J4">
        <v>2.9041999999999999</v>
      </c>
      <c r="K4" s="6"/>
    </row>
    <row r="5" spans="1:16">
      <c r="A5" t="s">
        <v>15</v>
      </c>
      <c r="B5">
        <v>4.3447E-2</v>
      </c>
      <c r="C5">
        <v>0.32150990000000002</v>
      </c>
      <c r="D5">
        <v>0.3233046</v>
      </c>
      <c r="E5">
        <v>0.32212190000000002</v>
      </c>
      <c r="F5">
        <v>8.9266000000000005</v>
      </c>
      <c r="G5">
        <v>0.35765000000000002</v>
      </c>
      <c r="H5">
        <v>0.40600000000000003</v>
      </c>
      <c r="I5">
        <v>0.38069999999999998</v>
      </c>
      <c r="J5">
        <v>2.5735000000000001</v>
      </c>
    </row>
    <row r="6" spans="1:16">
      <c r="A6" s="3" t="s">
        <v>16</v>
      </c>
    </row>
    <row r="7" spans="1:16">
      <c r="A7" t="s">
        <v>17</v>
      </c>
      <c r="B7">
        <v>4.3738999999999999</v>
      </c>
      <c r="C7">
        <f>920.6/650</f>
        <v>1.4163076923076923</v>
      </c>
      <c r="D7">
        <f>918.06/650</f>
        <v>1.4123999999999999</v>
      </c>
      <c r="E7">
        <f>916.19/650</f>
        <v>1.4095230769230771</v>
      </c>
      <c r="F7">
        <v>1.3656999999999999</v>
      </c>
      <c r="G7">
        <f>554/362</f>
        <v>1.5303867403314917</v>
      </c>
      <c r="H7">
        <f>94/50</f>
        <v>1.88</v>
      </c>
    </row>
    <row r="8" spans="1:16">
      <c r="A8" t="s">
        <v>18</v>
      </c>
      <c r="B8">
        <v>4.4276999999999997</v>
      </c>
      <c r="C8">
        <f>960.88/650</f>
        <v>1.478276923076923</v>
      </c>
      <c r="D8">
        <f>935.96/650</f>
        <v>1.4399384615384616</v>
      </c>
      <c r="E8">
        <f>938.57/650</f>
        <v>1.4439538461538461</v>
      </c>
      <c r="F8">
        <v>1.4301999999999999</v>
      </c>
      <c r="G8">
        <f>589/362</f>
        <v>1.6270718232044199</v>
      </c>
      <c r="H8">
        <f>111/50</f>
        <v>2.2200000000000002</v>
      </c>
    </row>
    <row r="9" spans="1:16">
      <c r="A9" s="3" t="s">
        <v>19</v>
      </c>
    </row>
    <row r="10" spans="1:16">
      <c r="A10" t="s">
        <v>20</v>
      </c>
      <c r="B10">
        <v>5.7839999999999998</v>
      </c>
      <c r="F10">
        <v>5.7956589999999997</v>
      </c>
    </row>
    <row r="11" spans="1:16">
      <c r="A11" t="s">
        <v>21</v>
      </c>
      <c r="B11">
        <v>5.79E-2</v>
      </c>
      <c r="F11">
        <v>4.7613999999999997E-2</v>
      </c>
    </row>
    <row r="12" spans="1:16">
      <c r="A12" t="s">
        <v>22</v>
      </c>
      <c r="B12">
        <v>0.999</v>
      </c>
      <c r="F12">
        <v>0.53976999999999997</v>
      </c>
    </row>
    <row r="13" spans="1:16">
      <c r="A13" t="s">
        <v>23</v>
      </c>
      <c r="B13">
        <v>0</v>
      </c>
      <c r="F13">
        <v>0.45922099999999999</v>
      </c>
    </row>
  </sheetData>
  <mergeCells count="1">
    <mergeCell ref="B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45E1A-EEE8-4172-8172-4F2506F86CD2}">
  <dimension ref="A1:P13"/>
  <sheetViews>
    <sheetView tabSelected="1" workbookViewId="0">
      <selection activeCell="K12" sqref="K12"/>
    </sheetView>
  </sheetViews>
  <sheetFormatPr defaultRowHeight="15"/>
  <cols>
    <col min="1" max="1" width="21.42578125" bestFit="1" customWidth="1"/>
    <col min="2" max="2" width="15.28515625" bestFit="1" customWidth="1"/>
    <col min="3" max="3" width="21" bestFit="1" customWidth="1"/>
    <col min="4" max="4" width="27.7109375" bestFit="1" customWidth="1"/>
    <col min="5" max="5" width="23" bestFit="1" customWidth="1"/>
    <col min="6" max="6" width="19.42578125" customWidth="1"/>
    <col min="7" max="7" width="20.5703125" customWidth="1"/>
    <col min="8" max="8" width="9.28515625" bestFit="1" customWidth="1"/>
  </cols>
  <sheetData>
    <row r="1" spans="1:16" ht="26.25"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1" t="s">
        <v>1</v>
      </c>
      <c r="B2" s="2" t="s">
        <v>2</v>
      </c>
      <c r="C2" s="2" t="s">
        <v>41</v>
      </c>
      <c r="D2" s="2" t="s">
        <v>42</v>
      </c>
      <c r="E2" s="2" t="s">
        <v>43</v>
      </c>
      <c r="F2" s="2" t="s">
        <v>44</v>
      </c>
      <c r="G2" s="2" t="s">
        <v>45</v>
      </c>
      <c r="H2" s="2" t="s">
        <v>11</v>
      </c>
      <c r="I2" s="2" t="s">
        <v>12</v>
      </c>
      <c r="J2" s="2"/>
      <c r="K2" s="2"/>
      <c r="L2" s="2"/>
      <c r="M2" s="2"/>
      <c r="N2" s="2"/>
      <c r="O2" s="2"/>
      <c r="P2" s="2"/>
    </row>
    <row r="3" spans="1:16">
      <c r="A3" s="3" t="s">
        <v>13</v>
      </c>
    </row>
    <row r="4" spans="1:16">
      <c r="A4" t="s">
        <v>14</v>
      </c>
      <c r="B4">
        <v>5.4661700000000001E-2</v>
      </c>
      <c r="C4">
        <v>1.8328259999999999E-2</v>
      </c>
      <c r="D4">
        <v>1.8522589999999999E-2</v>
      </c>
      <c r="E4">
        <v>1.8517349999999998E-2</v>
      </c>
      <c r="F4">
        <v>1.8015799999999998E-2</v>
      </c>
      <c r="G4">
        <v>2.1999999999999999E-2</v>
      </c>
      <c r="H4">
        <v>1.967E-2</v>
      </c>
      <c r="I4">
        <v>0.19209999999999999</v>
      </c>
      <c r="J4" s="6"/>
    </row>
    <row r="5" spans="1:16">
      <c r="A5" t="s">
        <v>15</v>
      </c>
      <c r="B5">
        <v>5.4606000000000002E-2</v>
      </c>
      <c r="C5">
        <v>1.2498779999999999E-2</v>
      </c>
      <c r="D5">
        <v>1.267004E-2</v>
      </c>
      <c r="E5">
        <v>1.26775E-2</v>
      </c>
      <c r="F5">
        <v>0.12833</v>
      </c>
      <c r="G5">
        <v>1.554E-2</v>
      </c>
      <c r="H5">
        <v>1.3864400000000001E-2</v>
      </c>
      <c r="I5">
        <v>0.154</v>
      </c>
    </row>
    <row r="6" spans="1:16">
      <c r="A6" s="3" t="s">
        <v>16</v>
      </c>
    </row>
    <row r="7" spans="1:16">
      <c r="A7" t="s">
        <v>17</v>
      </c>
      <c r="B7">
        <v>-2.6326999999999998</v>
      </c>
      <c r="C7">
        <f>-3285.73/642</f>
        <v>-5.1179595015576327</v>
      </c>
      <c r="D7">
        <f>-3281.1/652</f>
        <v>-5.0323619631901835</v>
      </c>
      <c r="E7">
        <f>-3281.44/642</f>
        <v>-5.1112772585669779</v>
      </c>
      <c r="F7">
        <f>-1815/362</f>
        <v>-5.0138121546961329</v>
      </c>
      <c r="G7">
        <f>-361/72</f>
        <v>-5.0138888888888893</v>
      </c>
    </row>
    <row r="8" spans="1:16">
      <c r="A8" t="s">
        <v>18</v>
      </c>
      <c r="B8">
        <v>-2.5781000000000001</v>
      </c>
      <c r="C8">
        <f>-3250.03/642</f>
        <v>-5.0623520249221183</v>
      </c>
      <c r="D8">
        <f>-3254.32/642</f>
        <v>-5.0690342679127731</v>
      </c>
      <c r="E8">
        <f>-3254.66/642</f>
        <v>-5.0695638629283488</v>
      </c>
      <c r="F8">
        <f>1785/-362</f>
        <v>-4.930939226519337</v>
      </c>
      <c r="G8">
        <f>354/72</f>
        <v>4.916666666666667</v>
      </c>
    </row>
    <row r="9" spans="1:16">
      <c r="A9" s="3" t="s">
        <v>19</v>
      </c>
    </row>
    <row r="10" spans="1:16">
      <c r="A10" t="s">
        <v>20</v>
      </c>
      <c r="B10" s="4">
        <v>0.26540000000000002</v>
      </c>
    </row>
    <row r="11" spans="1:16">
      <c r="A11" t="s">
        <v>21</v>
      </c>
      <c r="B11" s="4">
        <v>1.3200000000000001E-4</v>
      </c>
    </row>
    <row r="12" spans="1:16">
      <c r="A12" t="s">
        <v>22</v>
      </c>
      <c r="B12" s="4">
        <v>0.999</v>
      </c>
    </row>
    <row r="13" spans="1:16">
      <c r="A13" t="s">
        <v>23</v>
      </c>
      <c r="B13" s="4">
        <v>0</v>
      </c>
    </row>
  </sheetData>
  <mergeCells count="1">
    <mergeCell ref="B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62F3A-ACAC-40BE-881B-4E441E4EA951}">
  <dimension ref="A1:P13"/>
  <sheetViews>
    <sheetView workbookViewId="0">
      <selection activeCell="D14" sqref="D14"/>
    </sheetView>
  </sheetViews>
  <sheetFormatPr defaultRowHeight="15"/>
  <cols>
    <col min="1" max="1" width="21.42578125" bestFit="1" customWidth="1"/>
    <col min="2" max="2" width="15.28515625" bestFit="1" customWidth="1"/>
    <col min="3" max="3" width="21" bestFit="1" customWidth="1"/>
    <col min="4" max="4" width="27.7109375" bestFit="1" customWidth="1"/>
    <col min="5" max="5" width="13.7109375" bestFit="1" customWidth="1"/>
    <col min="6" max="6" width="19.28515625" customWidth="1"/>
    <col min="7" max="7" width="17.85546875" customWidth="1"/>
    <col min="8" max="8" width="21.5703125" customWidth="1"/>
    <col min="9" max="9" width="20.85546875" customWidth="1"/>
  </cols>
  <sheetData>
    <row r="1" spans="1:16" ht="26.25"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1" t="s">
        <v>1</v>
      </c>
      <c r="B2" s="2" t="s">
        <v>2</v>
      </c>
      <c r="C2" s="2" t="s">
        <v>46</v>
      </c>
      <c r="D2" s="2" t="s">
        <v>47</v>
      </c>
      <c r="E2" s="2" t="s">
        <v>48</v>
      </c>
      <c r="F2" s="2" t="s">
        <v>6</v>
      </c>
      <c r="G2" s="2" t="s">
        <v>49</v>
      </c>
      <c r="H2" s="2" t="s">
        <v>45</v>
      </c>
      <c r="I2" s="2" t="s">
        <v>11</v>
      </c>
      <c r="J2" s="2" t="s">
        <v>12</v>
      </c>
      <c r="K2" s="2"/>
      <c r="L2" s="2"/>
      <c r="M2" s="2"/>
      <c r="N2" s="2"/>
      <c r="O2" s="2"/>
      <c r="P2" s="2"/>
    </row>
    <row r="3" spans="1:16">
      <c r="A3" s="3" t="s">
        <v>13</v>
      </c>
    </row>
    <row r="4" spans="1:16">
      <c r="A4" t="s">
        <v>14</v>
      </c>
      <c r="B4">
        <v>0.106</v>
      </c>
      <c r="C4">
        <v>5.2185820000000001E-2</v>
      </c>
      <c r="D4">
        <v>5.423832E-2</v>
      </c>
      <c r="E4">
        <v>5.3427500000000003E-2</v>
      </c>
      <c r="F4">
        <v>0.21099999999999999</v>
      </c>
      <c r="G4">
        <v>5.79E-2</v>
      </c>
      <c r="H4">
        <v>5.9119999999999999E-2</v>
      </c>
      <c r="I4">
        <v>6.2300000000000001E-2</v>
      </c>
      <c r="J4" s="8">
        <v>0.192</v>
      </c>
      <c r="K4" s="6"/>
    </row>
    <row r="5" spans="1:16">
      <c r="A5" t="s">
        <v>15</v>
      </c>
      <c r="B5">
        <v>0.1032</v>
      </c>
      <c r="C5">
        <v>3.3373109999999997E-2</v>
      </c>
      <c r="D5">
        <v>3.3825920000000002E-2</v>
      </c>
      <c r="E5">
        <v>3.316504E-2</v>
      </c>
      <c r="F5">
        <v>0.2102</v>
      </c>
      <c r="G5">
        <v>3.6999999999999998E-2</v>
      </c>
      <c r="H5">
        <v>3.8670000000000003E-2</v>
      </c>
      <c r="I5">
        <v>3.7490000000000002E-2</v>
      </c>
      <c r="J5" s="8">
        <v>0.15379999999999999</v>
      </c>
    </row>
    <row r="6" spans="1:16">
      <c r="A6" s="3" t="s">
        <v>16</v>
      </c>
    </row>
    <row r="7" spans="1:16">
      <c r="A7" t="s">
        <v>17</v>
      </c>
      <c r="B7">
        <v>-1.3872</v>
      </c>
      <c r="C7">
        <f>-1828.46/607</f>
        <v>-3.0122899505766063</v>
      </c>
      <c r="D7">
        <f>-1803.38/607</f>
        <v>-2.9709719934102146</v>
      </c>
      <c r="E7">
        <f>-1817.3/607</f>
        <v>-2.9939044481054364</v>
      </c>
      <c r="F7">
        <v>-3.3879000000000001</v>
      </c>
      <c r="G7">
        <f>1008/362</f>
        <v>2.7845303867403315</v>
      </c>
      <c r="H7">
        <f>229/74</f>
        <v>3.0945945945945947</v>
      </c>
    </row>
    <row r="8" spans="1:16">
      <c r="A8" t="s">
        <v>18</v>
      </c>
      <c r="B8">
        <v>-1.3333999999999999</v>
      </c>
      <c r="C8">
        <f>-1762.33/607</f>
        <v>-2.9033443163097199</v>
      </c>
      <c r="D8">
        <f>-1785.75/607</f>
        <v>-2.9419275123558486</v>
      </c>
      <c r="E8">
        <f>-1790.86/607</f>
        <v>-2.950345963756178</v>
      </c>
      <c r="F8">
        <v>-3.3233999999999999</v>
      </c>
      <c r="G8">
        <f>961/362</f>
        <v>2.6546961325966851</v>
      </c>
      <c r="H8">
        <f>222/74</f>
        <v>3</v>
      </c>
    </row>
    <row r="9" spans="1:16">
      <c r="A9" s="3" t="s">
        <v>19</v>
      </c>
    </row>
    <row r="10" spans="1:16">
      <c r="A10" t="s">
        <v>20</v>
      </c>
      <c r="B10">
        <v>0.70299999999999996</v>
      </c>
      <c r="F10">
        <v>0.62050000000000005</v>
      </c>
    </row>
    <row r="11" spans="1:16">
      <c r="A11" t="s">
        <v>21</v>
      </c>
      <c r="B11">
        <v>1.1900000000000001E-3</v>
      </c>
      <c r="F11">
        <v>0.97470000000000001</v>
      </c>
    </row>
    <row r="12" spans="1:16">
      <c r="A12" t="s">
        <v>22</v>
      </c>
      <c r="B12">
        <v>0.999</v>
      </c>
      <c r="F12">
        <v>6.5099999999999999E-4</v>
      </c>
    </row>
    <row r="13" spans="1:16">
      <c r="A13" t="s">
        <v>23</v>
      </c>
      <c r="B13">
        <v>0</v>
      </c>
      <c r="F13">
        <v>0.251</v>
      </c>
    </row>
  </sheetData>
  <mergeCells count="1">
    <mergeCell ref="B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5233-83AE-4E3C-A890-F151B050FCDE}">
  <dimension ref="A1:P13"/>
  <sheetViews>
    <sheetView workbookViewId="0">
      <selection activeCell="J16" sqref="J16"/>
    </sheetView>
  </sheetViews>
  <sheetFormatPr defaultRowHeight="15"/>
  <cols>
    <col min="1" max="1" width="21.42578125" bestFit="1" customWidth="1"/>
    <col min="2" max="2" width="11.140625" bestFit="1" customWidth="1"/>
    <col min="3" max="3" width="21" bestFit="1" customWidth="1"/>
    <col min="4" max="4" width="27.7109375" bestFit="1" customWidth="1"/>
    <col min="5" max="5" width="13.7109375" bestFit="1" customWidth="1"/>
    <col min="6" max="6" width="15.28515625" bestFit="1" customWidth="1"/>
    <col min="7" max="7" width="12.5703125" bestFit="1" customWidth="1"/>
    <col min="8" max="8" width="20" bestFit="1" customWidth="1"/>
  </cols>
  <sheetData>
    <row r="1" spans="1:16" ht="26.25"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1" t="s">
        <v>1</v>
      </c>
      <c r="B2" s="2" t="s">
        <v>24</v>
      </c>
      <c r="C2" s="2" t="s">
        <v>50</v>
      </c>
      <c r="D2" s="2" t="s">
        <v>51</v>
      </c>
      <c r="E2" s="2" t="s">
        <v>52</v>
      </c>
      <c r="F2" s="2" t="s">
        <v>6</v>
      </c>
      <c r="G2" s="2" t="s">
        <v>27</v>
      </c>
      <c r="H2" s="2" t="s">
        <v>53</v>
      </c>
      <c r="I2" s="2" t="s">
        <v>11</v>
      </c>
      <c r="J2" s="2" t="s">
        <v>12</v>
      </c>
      <c r="K2" s="2"/>
      <c r="L2" s="2"/>
      <c r="M2" s="2"/>
      <c r="N2" s="2"/>
      <c r="O2" s="2"/>
      <c r="P2" s="2"/>
    </row>
    <row r="3" spans="1:16">
      <c r="A3" s="3" t="s">
        <v>13</v>
      </c>
    </row>
    <row r="4" spans="1:16">
      <c r="A4" t="s">
        <v>14</v>
      </c>
      <c r="B4">
        <v>4.55</v>
      </c>
      <c r="C4">
        <v>0.22064159999999999</v>
      </c>
      <c r="D4">
        <v>0.2246128</v>
      </c>
      <c r="E4">
        <v>0.22153329999999999</v>
      </c>
      <c r="F4">
        <v>4.3499999999999996</v>
      </c>
      <c r="G4">
        <v>0.26479999999999998</v>
      </c>
      <c r="H4">
        <v>0.26900000000000002</v>
      </c>
      <c r="I4">
        <v>0.28199999999999997</v>
      </c>
      <c r="J4" s="8">
        <v>1.4366000000000001</v>
      </c>
    </row>
    <row r="5" spans="1:16">
      <c r="A5" t="s">
        <v>15</v>
      </c>
      <c r="B5">
        <v>4.55</v>
      </c>
      <c r="C5">
        <v>0.13892669999999999</v>
      </c>
      <c r="D5">
        <v>0.1411297</v>
      </c>
      <c r="E5">
        <v>0.1401646</v>
      </c>
      <c r="F5">
        <v>4.3499999999999996</v>
      </c>
      <c r="G5">
        <v>0.17419999999999999</v>
      </c>
      <c r="H5">
        <v>0.184</v>
      </c>
      <c r="I5">
        <v>0.184</v>
      </c>
      <c r="J5" s="8">
        <v>1.3292999999999999</v>
      </c>
    </row>
    <row r="6" spans="1:16">
      <c r="A6" s="3" t="s">
        <v>16</v>
      </c>
    </row>
    <row r="7" spans="1:16">
      <c r="A7" t="s">
        <v>17</v>
      </c>
      <c r="B7">
        <v>2.5489000000000002</v>
      </c>
      <c r="C7">
        <f>-99.67/650</f>
        <v>-0.15333846153846153</v>
      </c>
      <c r="D7">
        <f>-89.45/650</f>
        <v>-0.13761538461538461</v>
      </c>
      <c r="E7">
        <f>-100.68/650</f>
        <v>-0.15489230769230769</v>
      </c>
      <c r="F7">
        <v>-9.6600000000000005E-2</v>
      </c>
      <c r="G7">
        <f>86/362</f>
        <v>0.23756906077348067</v>
      </c>
      <c r="H7">
        <f>29/74</f>
        <v>0.39189189189189189</v>
      </c>
    </row>
    <row r="8" spans="1:16">
      <c r="A8" t="s">
        <v>18</v>
      </c>
      <c r="B8">
        <v>2.6019999999999999</v>
      </c>
      <c r="C8">
        <f>-59.4/650</f>
        <v>-9.1384615384615384E-2</v>
      </c>
      <c r="D8">
        <f>-76.03/650</f>
        <v>-0.11696923076923077</v>
      </c>
      <c r="E8">
        <f>-73.83/650</f>
        <v>-0.11358461538461538</v>
      </c>
      <c r="F8">
        <v>-3.2099999999999997E-2</v>
      </c>
      <c r="G8">
        <f>121/362</f>
        <v>0.33425414364640882</v>
      </c>
      <c r="H8">
        <f>41/74</f>
        <v>0.55405405405405406</v>
      </c>
    </row>
    <row r="9" spans="1:16">
      <c r="A9" s="3" t="s">
        <v>19</v>
      </c>
    </row>
    <row r="10" spans="1:16">
      <c r="A10" t="s">
        <v>20</v>
      </c>
      <c r="B10">
        <v>3.2629000000000001</v>
      </c>
      <c r="F10">
        <v>2.1800000000000002</v>
      </c>
    </row>
    <row r="11" spans="1:16">
      <c r="A11" t="s">
        <v>21</v>
      </c>
      <c r="B11">
        <v>3.2500000000000001E-2</v>
      </c>
      <c r="F11">
        <v>4.4999999999999997E-3</v>
      </c>
    </row>
    <row r="12" spans="1:16">
      <c r="A12" t="s">
        <v>22</v>
      </c>
      <c r="B12">
        <v>0.99890000000000001</v>
      </c>
      <c r="F12">
        <v>0.23100000000000001</v>
      </c>
    </row>
    <row r="13" spans="1:16">
      <c r="A13" t="s">
        <v>23</v>
      </c>
      <c r="B13">
        <v>0</v>
      </c>
      <c r="F13">
        <v>0.76780000000000004</v>
      </c>
    </row>
  </sheetData>
  <mergeCells count="1">
    <mergeCell ref="B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 Garn</dc:creator>
  <cp:keywords/>
  <dc:description/>
  <cp:lastModifiedBy/>
  <cp:revision/>
  <dcterms:created xsi:type="dcterms:W3CDTF">2023-04-03T03:26:06Z</dcterms:created>
  <dcterms:modified xsi:type="dcterms:W3CDTF">2023-04-19T03:05:46Z</dcterms:modified>
  <cp:category/>
  <cp:contentStatus/>
</cp:coreProperties>
</file>