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6CD6980E-B2A3-5944-8A44-436A2548A8F6}" xr6:coauthVersionLast="36" xr6:coauthVersionMax="36" xr10:uidLastSave="{00000000-0000-0000-0000-000000000000}"/>
  <bookViews>
    <workbookView xWindow="240" yWindow="460" windowWidth="25340" windowHeight="16540" activeTab="4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misc calcs" sheetId="4" r:id="rId4"/>
    <sheet name="#ignore - summary" sheetId="5" r:id="rId5"/>
    <sheet name="Monitoring" sheetId="6" r:id="rId6"/>
  </sheets>
  <externalReferences>
    <externalReference r:id="rId7"/>
    <externalReference r:id="rId8"/>
    <externalReference r:id="rId9"/>
    <externalReference r:id="rId10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62913"/>
</workbook>
</file>

<file path=xl/calcChain.xml><?xml version="1.0" encoding="utf-8"?>
<calcChain xmlns="http://schemas.openxmlformats.org/spreadsheetml/2006/main">
  <c r="G21" i="5" l="1"/>
  <c r="L21" i="5"/>
  <c r="D15" i="5"/>
  <c r="D23" i="5" l="1"/>
  <c r="D17" i="5"/>
  <c r="D22" i="5"/>
  <c r="D21" i="5"/>
  <c r="D20" i="5"/>
  <c r="J23" i="5"/>
  <c r="J22" i="5"/>
  <c r="J21" i="5"/>
  <c r="H24" i="5"/>
  <c r="H23" i="5"/>
  <c r="H22" i="5"/>
  <c r="H21" i="5"/>
  <c r="F3" i="4" l="1"/>
  <c r="C1" i="4"/>
  <c r="B1" i="4"/>
  <c r="D13" i="5" l="1"/>
  <c r="E13" i="5" s="1"/>
  <c r="D12" i="5"/>
  <c r="E12" i="5" s="1"/>
  <c r="D11" i="5"/>
  <c r="E11" i="5" s="1"/>
  <c r="D10" i="5"/>
  <c r="E10" i="5" s="1"/>
  <c r="E8" i="5"/>
  <c r="E7" i="5" s="1"/>
  <c r="H62" i="2" l="1"/>
  <c r="H55" i="2"/>
  <c r="B24" i="4"/>
  <c r="K4" i="6" l="1"/>
  <c r="O4" i="6"/>
  <c r="I7" i="6"/>
  <c r="O7" i="6" s="1"/>
  <c r="I8" i="6"/>
  <c r="O8" i="6" s="1"/>
  <c r="I10" i="6"/>
  <c r="O10" i="6" s="1"/>
  <c r="I11" i="6"/>
  <c r="O11" i="6" s="1"/>
  <c r="I12" i="6"/>
  <c r="O12" i="6" s="1"/>
  <c r="I13" i="6"/>
  <c r="J13" i="6" s="1"/>
  <c r="I14" i="6"/>
  <c r="J14" i="6" s="1"/>
  <c r="I15" i="6"/>
  <c r="J15" i="6" s="1"/>
  <c r="I16" i="6"/>
  <c r="J16" i="6" s="1"/>
  <c r="I17" i="6"/>
  <c r="J17" i="6" s="1"/>
  <c r="J18" i="6"/>
  <c r="K18" i="6"/>
  <c r="O18" i="6"/>
  <c r="I21" i="6"/>
  <c r="K21" i="6" s="1"/>
  <c r="J21" i="6"/>
  <c r="I22" i="6"/>
  <c r="K22" i="6" s="1"/>
  <c r="I24" i="6"/>
  <c r="O24" i="6" s="1"/>
  <c r="J24" i="6"/>
  <c r="K24" i="6"/>
  <c r="I25" i="6"/>
  <c r="O25" i="6" s="1"/>
  <c r="I26" i="6"/>
  <c r="O26" i="6" s="1"/>
  <c r="J26" i="6"/>
  <c r="I27" i="6"/>
  <c r="O27" i="6" s="1"/>
  <c r="I28" i="6"/>
  <c r="O28" i="6" s="1"/>
  <c r="I29" i="6"/>
  <c r="O29" i="6" s="1"/>
  <c r="I30" i="6"/>
  <c r="O30" i="6" s="1"/>
  <c r="I31" i="6"/>
  <c r="O31" i="6" s="1"/>
  <c r="J33" i="6"/>
  <c r="K33" i="6"/>
  <c r="O33" i="6"/>
  <c r="E17" i="5"/>
  <c r="E15" i="5"/>
  <c r="E18" i="5"/>
  <c r="E16" i="5"/>
  <c r="C8" i="5"/>
  <c r="C6" i="5"/>
  <c r="C5" i="5"/>
  <c r="C4" i="5"/>
  <c r="G2" i="3"/>
  <c r="H2" i="3"/>
  <c r="I2" i="3"/>
  <c r="B19" i="4"/>
  <c r="E9" i="5" l="1"/>
  <c r="D8" i="5"/>
  <c r="K7" i="6"/>
  <c r="J31" i="6"/>
  <c r="J12" i="6"/>
  <c r="J8" i="6"/>
  <c r="K31" i="6"/>
  <c r="K12" i="6"/>
  <c r="O6" i="6"/>
  <c r="K27" i="6"/>
  <c r="K17" i="6"/>
  <c r="K15" i="6"/>
  <c r="K13" i="6"/>
  <c r="K10" i="6"/>
  <c r="K28" i="6"/>
  <c r="J27" i="6"/>
  <c r="J22" i="6"/>
  <c r="J20" i="6" s="1"/>
  <c r="K11" i="6"/>
  <c r="J10" i="6"/>
  <c r="J30" i="6"/>
  <c r="J28" i="6"/>
  <c r="K16" i="6"/>
  <c r="K14" i="6"/>
  <c r="J11" i="6"/>
  <c r="O9" i="6"/>
  <c r="K30" i="6"/>
  <c r="J29" i="6"/>
  <c r="K26" i="6"/>
  <c r="J25" i="6"/>
  <c r="O23" i="6"/>
  <c r="O40" i="6" s="1"/>
  <c r="K20" i="6"/>
  <c r="O17" i="6"/>
  <c r="O16" i="6"/>
  <c r="O15" i="6"/>
  <c r="O14" i="6"/>
  <c r="O13" i="6"/>
  <c r="K8" i="6"/>
  <c r="J7" i="6"/>
  <c r="K29" i="6"/>
  <c r="K25" i="6"/>
  <c r="K23" i="6" s="1"/>
  <c r="J23" i="6"/>
  <c r="D19" i="5"/>
  <c r="O22" i="6"/>
  <c r="O21" i="6"/>
  <c r="O20" i="6" s="1"/>
  <c r="O39" i="6" s="1"/>
  <c r="C25" i="5" s="1"/>
  <c r="E25" i="5" s="1"/>
  <c r="K6" i="6" l="1"/>
  <c r="J9" i="6"/>
  <c r="J38" i="6" s="1"/>
  <c r="J6" i="6"/>
  <c r="J37" i="6" s="1"/>
  <c r="C20" i="5" s="1"/>
  <c r="E20" i="5" s="1"/>
  <c r="K9" i="6"/>
  <c r="K38" i="6" s="1"/>
  <c r="J40" i="6"/>
  <c r="K37" i="6"/>
  <c r="C22" i="5" s="1"/>
  <c r="E22" i="5" s="1"/>
  <c r="K40" i="6"/>
  <c r="J39" i="6"/>
  <c r="C21" i="5" s="1"/>
  <c r="E21" i="5" s="1"/>
  <c r="O38" i="6"/>
  <c r="K39" i="6"/>
  <c r="C23" i="5" s="1"/>
  <c r="E23" i="5" s="1"/>
  <c r="O37" i="6"/>
  <c r="C24" i="5" s="1"/>
  <c r="E24" i="5" s="1"/>
  <c r="E19" i="5" l="1"/>
  <c r="E14" i="5" s="1"/>
  <c r="C16" i="4"/>
  <c r="C15" i="4"/>
  <c r="C14" i="4"/>
  <c r="C13" i="4"/>
  <c r="C12" i="4"/>
  <c r="C11" i="4"/>
  <c r="C10" i="4"/>
  <c r="C9" i="4"/>
  <c r="C8" i="4"/>
  <c r="H20" i="2" l="1"/>
  <c r="H13" i="2"/>
  <c r="H6" i="2"/>
  <c r="K13" i="3"/>
  <c r="K10" i="3"/>
  <c r="K7" i="3"/>
  <c r="K4" i="3"/>
  <c r="K1" i="3"/>
  <c r="H58" i="2"/>
  <c r="H51" i="2"/>
  <c r="H48" i="2"/>
  <c r="H44" i="2" s="1"/>
  <c r="B14" i="4" s="1"/>
  <c r="H41" i="2"/>
  <c r="H37" i="2" s="1"/>
  <c r="B13" i="4" s="1"/>
  <c r="H34" i="2"/>
  <c r="H30" i="2" s="1"/>
  <c r="B12" i="4" s="1"/>
  <c r="H27" i="2"/>
  <c r="H23" i="2" s="1"/>
  <c r="B11" i="4" s="1"/>
  <c r="B15" i="4" l="1"/>
  <c r="E27" i="5"/>
  <c r="B16" i="4"/>
  <c r="E28" i="5"/>
  <c r="D28" i="5" s="1"/>
  <c r="H2" i="2"/>
  <c r="B20" i="4"/>
  <c r="B26" i="4" s="1"/>
  <c r="H9" i="2"/>
  <c r="B21" i="4"/>
  <c r="B27" i="4" s="1"/>
  <c r="H16" i="2"/>
  <c r="B22" i="4"/>
  <c r="B28" i="4" s="1"/>
  <c r="H45" i="2"/>
  <c r="H38" i="2"/>
  <c r="H31" i="2"/>
  <c r="A29" i="2"/>
  <c r="A14" i="3"/>
  <c r="O13" i="3"/>
  <c r="N13" i="3"/>
  <c r="M13" i="3"/>
  <c r="L13" i="3"/>
  <c r="J13" i="3"/>
  <c r="I13" i="3"/>
  <c r="H13" i="3"/>
  <c r="G13" i="3"/>
  <c r="A11" i="3"/>
  <c r="O10" i="3"/>
  <c r="N10" i="3"/>
  <c r="M10" i="3"/>
  <c r="L10" i="3"/>
  <c r="J10" i="3"/>
  <c r="I10" i="3"/>
  <c r="H10" i="3"/>
  <c r="G10" i="3"/>
  <c r="A8" i="3"/>
  <c r="O7" i="3"/>
  <c r="N7" i="3"/>
  <c r="M7" i="3"/>
  <c r="L7" i="3"/>
  <c r="J7" i="3"/>
  <c r="I7" i="3"/>
  <c r="H7" i="3"/>
  <c r="G7" i="3"/>
  <c r="A5" i="3"/>
  <c r="O4" i="3"/>
  <c r="N4" i="3"/>
  <c r="M4" i="3"/>
  <c r="L4" i="3"/>
  <c r="J4" i="3"/>
  <c r="I4" i="3"/>
  <c r="H4" i="3"/>
  <c r="G4" i="3"/>
  <c r="A2" i="3"/>
  <c r="O1" i="3"/>
  <c r="N1" i="3"/>
  <c r="M1" i="3"/>
  <c r="L1" i="3"/>
  <c r="J1" i="3"/>
  <c r="I1" i="3"/>
  <c r="H1" i="3"/>
  <c r="G1" i="3"/>
  <c r="A57" i="2"/>
  <c r="A50" i="2"/>
  <c r="A43" i="2"/>
  <c r="A36" i="2"/>
  <c r="A22" i="2"/>
  <c r="A15" i="2"/>
  <c r="A8" i="2"/>
  <c r="A1" i="2"/>
  <c r="D27" i="5" l="1"/>
  <c r="E26" i="5"/>
  <c r="E32" i="5" s="1"/>
  <c r="B9" i="4"/>
  <c r="E5" i="5"/>
  <c r="B10" i="4"/>
  <c r="E6" i="5"/>
  <c r="B8" i="4"/>
  <c r="E4" i="5"/>
  <c r="B29" i="4"/>
  <c r="B31" i="4" s="1"/>
  <c r="F26" i="5" l="1"/>
  <c r="F14" i="5"/>
  <c r="E3" i="5"/>
  <c r="D6" i="5"/>
  <c r="D4" i="5"/>
  <c r="D5" i="5"/>
  <c r="F19" i="5" l="1"/>
  <c r="F34" i="5"/>
  <c r="F33" i="5"/>
  <c r="F16" i="5"/>
  <c r="F18" i="5"/>
  <c r="F11" i="5"/>
  <c r="F24" i="5"/>
  <c r="F28" i="5"/>
  <c r="F22" i="5"/>
  <c r="F21" i="5"/>
  <c r="F8" i="5"/>
  <c r="F7" i="5" s="1"/>
  <c r="F13" i="5"/>
  <c r="F17" i="5"/>
  <c r="F25" i="5"/>
  <c r="F23" i="5"/>
  <c r="F15" i="5"/>
  <c r="F12" i="5"/>
  <c r="F10" i="5"/>
  <c r="F20" i="5"/>
  <c r="F27" i="5"/>
  <c r="F5" i="5"/>
  <c r="F6" i="5"/>
  <c r="F4" i="5"/>
  <c r="F9" i="5" l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198FC5BE-A780-6346-9C1F-0116132EEE4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 xml:space="preserve">• cost of providing diary and glucometer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<sst xmlns="http://schemas.openxmlformats.org/spreadsheetml/2006/main" count="487" uniqueCount="156">
  <si>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</si>
  <si>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</si>
  <si>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</si>
  <si>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</si>
  <si>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</si>
  <si>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</si>
  <si>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</si>
  <si>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</si>
  <si>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</si>
  <si>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</si>
  <si>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</si>
  <si>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</si>
  <si>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</si>
  <si>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</si>
  <si>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</si>
  <si>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</si>
  <si>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</si>
  <si>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</si>
  <si>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</si>
  <si>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</si>
  <si>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</si>
  <si>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</si>
  <si>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</si>
  <si>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</si>
  <si>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</si>
  <si>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</si>
  <si>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</si>
  <si>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</si>
  <si>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</si>
  <si>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</si>
  <si>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</si>
  <si>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</si>
  <si>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</si>
  <si>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</si>
  <si>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</si>
  <si>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</si>
  <si>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</si>
  <si>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</si>
  <si>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</si>
  <si>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</si>
  <si>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</si>
  <si>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</si>
  <si>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</si>
  <si>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</si>
  <si>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</si>
  <si>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</si>
  <si>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</si>
  <si>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</si>
  <si>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</si>
  <si>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</si>
  <si>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</si>
  <si>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</si>
  <si>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</si>
  <si>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</si>
  <si>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(unsc_uncomp+unsc_vd)/(unsc_uncomp+unsc_vd+sus)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</si>
  <si>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</si>
  <si>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</si>
  <si>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</si>
  <si>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</si>
  <si>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</si>
  <si>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</si>
  <si>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</si>
  <si>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</si>
  <si>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</si>
  <si>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</si>
  <si>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</si>
  <si>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</si>
  <si>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</si>
  <si>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</si>
  <si>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</si>
  <si>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</si>
  <si>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</si>
  <si>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</si>
  <si>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</si>
  <si>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</si>
  <si>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</si>
  <si>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Comments</t>
  </si>
  <si>
    <r>
      <t xml:space="preserve">We estimate that 2363 people were screened positive in 2016, and that around </t>
    </r>
    <r>
      <rPr>
        <b/>
        <sz val="11"/>
        <color theme="1"/>
        <rFont val="Calibri"/>
        <family val="2"/>
        <scheme val="minor"/>
      </rPr>
      <t>92%</t>
    </r>
    <r>
      <rPr>
        <sz val="11"/>
        <color theme="1"/>
        <rFont val="Calibri"/>
        <family val="2"/>
        <scheme val="minor"/>
      </rPr>
      <t xml:space="preserve"> of these received apositive confirmatory test</t>
    </r>
  </si>
  <si>
    <t>We estimate that 2000 people were initiated onto treatment in 2016, and that around a third of initiations happened through IEC</t>
  </si>
  <si>
    <t>We estimate around 18000 people received non-insulin treatment in 2016, and that 80% of these were on oral medication (20% on non-pharma treatment)</t>
  </si>
  <si>
    <t>We estimate around 22750 people received insulin in 2016</t>
  </si>
  <si>
    <t>Around 2.5% of those experiencing treatment failure in 2016 are assumed to receive enhanced adherence counseling at PHC</t>
  </si>
  <si>
    <t>Around 5% of those experiencing treatment failure in 2016 are assumed to receive enhanced adherence counseling at PHC</t>
  </si>
  <si>
    <t>We estimate that 2000 people were initiated onto treatment in 2016, and that all of these people were provided with a diary and glucometer</t>
  </si>
  <si>
    <t>We estimate that 2000 people were initiated onto treatment in 2016, and that all of these people had a clinical exam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</si>
  <si>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</si>
  <si>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</si>
  <si>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</si>
  <si>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</si>
  <si>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</si>
  <si>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</si>
  <si>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</si>
  <si>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</si>
  <si>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</si>
  <si>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</si>
  <si>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</si>
  <si>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</si>
  <si>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</si>
  <si>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</si>
  <si>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</si>
  <si>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</si>
  <si>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</si>
  <si>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</si>
  <si>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</si>
  <si>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</si>
  <si>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</si>
  <si>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</si>
  <si>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</si>
  <si>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</si>
  <si>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</si>
  <si>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</si>
  <si>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</si>
  <si>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</si>
  <si>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</si>
  <si>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</si>
  <si>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</si>
  <si>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</si>
  <si>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</si>
  <si>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</si>
  <si>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</si>
  <si>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</si>
  <si>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</si>
  <si>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</si>
  <si>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</si>
  <si>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</si>
  <si>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</si>
  <si>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</si>
  <si>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</si>
  <si>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</si>
  <si>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</si>
  <si>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</si>
  <si>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</si>
  <si>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</si>
  <si>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</si>
  <si>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</si>
  <si>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</si>
  <si>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</si>
  <si>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</si>
  <si>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Provision of glucometer strips (oral treatment)</t>
  </si>
  <si>
    <t>Provision of glucometer strips (insulin)</t>
  </si>
  <si>
    <t>Clinical exam at diagnosis</t>
  </si>
  <si>
    <t>Annual patient monitoring costs</t>
  </si>
  <si>
    <t>See details below</t>
  </si>
  <si>
    <t>Assuming 8% positivity among those screened (equal to overall prevalence) = 1969 screened positive</t>
  </si>
  <si>
    <t>Assuming 8% positivity among those screened (equal to overall prevalence) = 738 screened positive</t>
  </si>
  <si>
    <t>Assuming 8% positivity among those screened (equal to overall prevalence) = 246 screened positive</t>
  </si>
  <si>
    <t>TOTAL</t>
  </si>
  <si>
    <t>Screening</t>
  </si>
  <si>
    <t>Diagnosis</t>
  </si>
  <si>
    <t>Maintenance</t>
  </si>
  <si>
    <t>Adherence</t>
  </si>
  <si>
    <t>Population</t>
  </si>
  <si>
    <t>PLWT2DM</t>
  </si>
  <si>
    <t>non-pharma</t>
  </si>
  <si>
    <t>insulin</t>
  </si>
  <si>
    <t>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</si>
</sst>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1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2" borderId="0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9" fontId="0" fillId="0" borderId="0" xfId="2" applyFont="1"/>
  </cellXfs>
  <cellStyles count="4">
    <cellStyle name="Comma" xfId="1" builtinId="3"/>
    <cellStyle name="Normal" xfId="0" builtinId="0"/>
    <cellStyle name="Normal 2" xfId="3" xr:uid="{57FD6BB9-CE0E-2E4F-834E-B83C40CC73C3}"/>
    <cellStyle name="Percent" xfId="2" builtinId="5"/>
  </cellStyles>
  <dxfs count="283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2-4F4C-BADF-E33D3E1D8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2-4F4C-BADF-E33D3E1D8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2-4F4C-BADF-E33D3E1D8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2-4F4C-BADF-E33D3E1D8C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2-4F4C-BADF-E33D3E1D8C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2-4F4C-BADF-E33D3E1D8C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2-4F4C-BADF-E33D3E1D8C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2-4F4C-BADF-E33D3E1D8C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2-4F4C-BADF-E33D3E1D8C30}"/>
              </c:ext>
            </c:extLst>
          </c:dPt>
          <c:cat>
            <c:strRef>
              <c:f>'#ignore - misc calcs'!$C$8:$C$16</c:f>
              <c:strCache>
                <c:ptCount val="9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3">
                  <c:v>Confirmatory test</c:v>
                </c:pt>
                <c:pt idx="4">
                  <c:v>Initiation</c:v>
                </c:pt>
                <c:pt idx="5">
                  <c:v>Initiation counselling - patient schools</c:v>
                </c:pt>
                <c:pt idx="6">
                  <c:v>Initiation counselling - PHC</c:v>
                </c:pt>
                <c:pt idx="7">
                  <c:v>Advanced adherence counselling - PHC</c:v>
                </c:pt>
                <c:pt idx="8">
                  <c:v>Advanced adherence counselling - family nurse</c:v>
                </c:pt>
              </c:strCache>
            </c:strRef>
          </c:cat>
          <c:val>
            <c:numRef>
              <c:f>'#ignore - misc calcs'!$B$8:$B$16</c:f>
              <c:numCache>
                <c:formatCode>_-* #.##0\ _k_r_._-;\-* #.##0\ _k_r_._-;_-* "-"??\ _k_r_._-;_-@_-</c:formatCode>
                <c:ptCount val="9"/>
                <c:pt idx="0">
                  <c:v>526335.20000000007</c:v>
                </c:pt>
                <c:pt idx="1">
                  <c:v>197375.7</c:v>
                </c:pt>
                <c:pt idx="2">
                  <c:v>65791.900000000009</c:v>
                </c:pt>
                <c:pt idx="3">
                  <c:v>334400</c:v>
                </c:pt>
                <c:pt idx="4">
                  <c:v>1807196.8</c:v>
                </c:pt>
                <c:pt idx="5">
                  <c:v>265430.39999999997</c:v>
                </c:pt>
                <c:pt idx="6">
                  <c:v>710711.65999999992</c:v>
                </c:pt>
                <c:pt idx="7">
                  <c:v>37868.410000000003</c:v>
                </c:pt>
                <c:pt idx="8">
                  <c:v>16988.399999999998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5143-B4BB-1B546F6D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'#ignore - summary'!$E$2</c:f>
              <c:strCache>
                <c:ptCount val="1"/>
                <c:pt idx="0">
                  <c:v>Estimated baseline spend (2016)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67-5B4E-B192-6FD4B7490C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67-5B4E-B192-6FD4B7490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67-5B4E-B192-6FD4B7490C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67-5B4E-B192-6FD4B7490C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67-5B4E-B192-6FD4B7490C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67-5B4E-B192-6FD4B7490C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B67-5B4E-B192-6FD4B7490C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B67-5B4E-B192-6FD4B7490C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B67-5B4E-B192-6FD4B7490C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B67-5B4E-B192-6FD4B7490C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67-5B4E-B192-6FD4B7490C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67-5B4E-B192-6FD4B7490CE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67-5B4E-B192-6FD4B7490CE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67-5B4E-B192-6FD4B7490CE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B67-5B4E-B192-6FD4B7490CE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A00-3E48-9279-254E1B268BEA}"/>
              </c:ext>
            </c:extLst>
          </c:dPt>
          <c:cat>
            <c:strRef>
              <c:f>'#ignore - summary'!$B$4:$B$19</c:f>
              <c:strCache>
                <c:ptCount val="16"/>
                <c:pt idx="0">
                  <c:v>Blood glucose test (PHC level)</c:v>
                </c:pt>
                <c:pt idx="1">
                  <c:v>Blood glucose test (Feldsher post family nurse)</c:v>
                </c:pt>
                <c:pt idx="2">
                  <c:v>Blood glucose test (outreach/community-based)</c:v>
                </c:pt>
                <c:pt idx="4">
                  <c:v>Confirmatory test (oral glucose tolerance test)</c:v>
                </c:pt>
                <c:pt idx="6">
                  <c:v>Clinical exam at diagnosis</c:v>
                </c:pt>
                <c:pt idx="7">
                  <c:v>Provision of diary and glucometer at initiation</c:v>
                </c:pt>
                <c:pt idx="8">
                  <c:v>IEC through residential school/courses</c:v>
                </c:pt>
                <c:pt idx="9">
                  <c:v>IEC through PHC clinic staff</c:v>
                </c:pt>
                <c:pt idx="11">
                  <c:v>Annual co-payments for oral medication</c:v>
                </c:pt>
                <c:pt idx="12">
                  <c:v>Annual co-payments for insulin</c:v>
                </c:pt>
                <c:pt idx="13">
                  <c:v>Provision of glucometer strips (oral treatment)</c:v>
                </c:pt>
                <c:pt idx="14">
                  <c:v>Provision of glucometer strips (insulin)</c:v>
                </c:pt>
                <c:pt idx="15">
                  <c:v>Annual patient monitoring costs</c:v>
                </c:pt>
              </c:strCache>
            </c:strRef>
          </c:cat>
          <c:val>
            <c:numRef>
              <c:f>'#ignore - summary'!$E$4:$E$19</c:f>
              <c:numCache>
                <c:formatCode>0</c:formatCode>
                <c:ptCount val="16"/>
                <c:pt idx="0">
                  <c:v>526335.20000000007</c:v>
                </c:pt>
                <c:pt idx="1">
                  <c:v>197375.7</c:v>
                </c:pt>
                <c:pt idx="2">
                  <c:v>65791.900000000009</c:v>
                </c:pt>
                <c:pt idx="3">
                  <c:v>334400</c:v>
                </c:pt>
                <c:pt idx="4">
                  <c:v>334400</c:v>
                </c:pt>
                <c:pt idx="5">
                  <c:v>2782463.4826993197</c:v>
                </c:pt>
                <c:pt idx="6">
                  <c:v>1011295.2</c:v>
                </c:pt>
                <c:pt idx="7">
                  <c:v>1699500</c:v>
                </c:pt>
                <c:pt idx="8">
                  <c:v>39092.745970068027</c:v>
                </c:pt>
                <c:pt idx="9">
                  <c:v>32575.5367292517</c:v>
                </c:pt>
                <c:pt idx="10">
                  <c:v>335868432.98575366</c:v>
                </c:pt>
                <c:pt idx="11">
                  <c:v>25282291.19047619</c:v>
                </c:pt>
                <c:pt idx="12">
                  <c:v>113020872.24000001</c:v>
                </c:pt>
                <c:pt idx="13">
                  <c:v>43196914.285714284</c:v>
                </c:pt>
                <c:pt idx="14">
                  <c:v>100608192</c:v>
                </c:pt>
                <c:pt idx="15">
                  <c:v>53760163.269563198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3644-AE5A-EBF77BD65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165100</xdr:rowOff>
    </xdr:from>
    <xdr:to>
      <xdr:col>14</xdr:col>
      <xdr:colOff>558800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0602-06B6-074E-9D36-15878302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34</xdr:row>
      <xdr:rowOff>139700</xdr:rowOff>
    </xdr:from>
    <xdr:to>
      <xdr:col>8</xdr:col>
      <xdr:colOff>482600</xdr:colOff>
      <xdr:row>63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37CCD-FB1B-4D40-AD18-92FE9279A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H36" sqref="H36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16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16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16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45</v>
      </c>
      <c r="B7" t="s">
        <v>45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18</v>
      </c>
      <c r="B8" t="s">
        <v>18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19</v>
      </c>
      <c r="B9" t="s">
        <v>19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16</v>
      </c>
      <c r="K9" s="4" t="s">
        <v>16</v>
      </c>
      <c r="L9" s="4" t="s">
        <v>17</v>
      </c>
      <c r="M9" s="4" t="s">
        <v>17</v>
      </c>
      <c r="N9" s="4" t="s">
        <v>17</v>
      </c>
      <c r="O9" s="4" t="s">
        <v>17</v>
      </c>
    </row>
    <row r="10" spans="1:15">
      <c r="A10" t="s">
        <v>20</v>
      </c>
      <c r="B10" t="s">
        <v>20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  <row r="11" spans="1:15">
      <c r="A11" t="s">
        <v>21</v>
      </c>
      <c r="B11" t="s">
        <v>21</v>
      </c>
      <c r="C11" s="4" t="s">
        <v>16</v>
      </c>
      <c r="E11" s="4" t="s">
        <v>17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16</v>
      </c>
      <c r="O11" s="4" t="s">
        <v>16</v>
      </c>
    </row>
  </sheetData>
  <conditionalFormatting sqref="C10">
    <cfRule type="cellIs" dxfId="282" priority="96" operator="equal">
      <formula>"Y"</formula>
    </cfRule>
  </conditionalFormatting>
  <conditionalFormatting sqref="C11">
    <cfRule type="cellIs" dxfId="281" priority="108" operator="equal">
      <formula>"Y"</formula>
    </cfRule>
  </conditionalFormatting>
  <conditionalFormatting sqref="C3">
    <cfRule type="cellIs" dxfId="280" priority="12" operator="equal">
      <formula>"Y"</formula>
    </cfRule>
  </conditionalFormatting>
  <conditionalFormatting sqref="C4">
    <cfRule type="cellIs" dxfId="279" priority="24" operator="equal">
      <formula>"Y"</formula>
    </cfRule>
  </conditionalFormatting>
  <conditionalFormatting sqref="C5">
    <cfRule type="cellIs" dxfId="278" priority="36" operator="equal">
      <formula>"Y"</formula>
    </cfRule>
  </conditionalFormatting>
  <conditionalFormatting sqref="C6:C7">
    <cfRule type="cellIs" dxfId="277" priority="48" operator="equal">
      <formula>"Y"</formula>
    </cfRule>
  </conditionalFormatting>
  <conditionalFormatting sqref="C8">
    <cfRule type="cellIs" dxfId="276" priority="72" operator="equal">
      <formula>"Y"</formula>
    </cfRule>
  </conditionalFormatting>
  <conditionalFormatting sqref="C9">
    <cfRule type="cellIs" dxfId="275" priority="84" operator="equal">
      <formula>"Y"</formula>
    </cfRule>
  </conditionalFormatting>
  <conditionalFormatting sqref="E10">
    <cfRule type="cellIs" dxfId="274" priority="97" operator="equal">
      <formula>"Y"</formula>
    </cfRule>
  </conditionalFormatting>
  <conditionalFormatting sqref="E11">
    <cfRule type="cellIs" dxfId="273" priority="109" operator="equal">
      <formula>"Y"</formula>
    </cfRule>
  </conditionalFormatting>
  <conditionalFormatting sqref="E3">
    <cfRule type="cellIs" dxfId="272" priority="13" operator="equal">
      <formula>"Y"</formula>
    </cfRule>
  </conditionalFormatting>
  <conditionalFormatting sqref="E4">
    <cfRule type="cellIs" dxfId="271" priority="25" operator="equal">
      <formula>"Y"</formula>
    </cfRule>
  </conditionalFormatting>
  <conditionalFormatting sqref="E5">
    <cfRule type="cellIs" dxfId="270" priority="37" operator="equal">
      <formula>"Y"</formula>
    </cfRule>
  </conditionalFormatting>
  <conditionalFormatting sqref="E6">
    <cfRule type="cellIs" dxfId="269" priority="49" operator="equal">
      <formula>"Y"</formula>
    </cfRule>
  </conditionalFormatting>
  <conditionalFormatting sqref="E8">
    <cfRule type="cellIs" dxfId="268" priority="73" operator="equal">
      <formula>"Y"</formula>
    </cfRule>
  </conditionalFormatting>
  <conditionalFormatting sqref="E9">
    <cfRule type="cellIs" dxfId="267" priority="85" operator="equal">
      <formula>"Y"</formula>
    </cfRule>
  </conditionalFormatting>
  <conditionalFormatting sqref="F10">
    <cfRule type="cellIs" dxfId="266" priority="98" operator="equal">
      <formula>"Y"</formula>
    </cfRule>
  </conditionalFormatting>
  <conditionalFormatting sqref="F11">
    <cfRule type="cellIs" dxfId="265" priority="110" operator="equal">
      <formula>"Y"</formula>
    </cfRule>
  </conditionalFormatting>
  <conditionalFormatting sqref="F3">
    <cfRule type="cellIs" dxfId="264" priority="14" operator="equal">
      <formula>"Y"</formula>
    </cfRule>
  </conditionalFormatting>
  <conditionalFormatting sqref="F4">
    <cfRule type="cellIs" dxfId="263" priority="26" operator="equal">
      <formula>"Y"</formula>
    </cfRule>
  </conditionalFormatting>
  <conditionalFormatting sqref="F5">
    <cfRule type="cellIs" dxfId="262" priority="38" operator="equal">
      <formula>"Y"</formula>
    </cfRule>
  </conditionalFormatting>
  <conditionalFormatting sqref="F6">
    <cfRule type="cellIs" dxfId="261" priority="50" operator="equal">
      <formula>"Y"</formula>
    </cfRule>
  </conditionalFormatting>
  <conditionalFormatting sqref="F8">
    <cfRule type="cellIs" dxfId="260" priority="74" operator="equal">
      <formula>"Y"</formula>
    </cfRule>
  </conditionalFormatting>
  <conditionalFormatting sqref="F9">
    <cfRule type="cellIs" dxfId="259" priority="86" operator="equal">
      <formula>"Y"</formula>
    </cfRule>
  </conditionalFormatting>
  <conditionalFormatting sqref="G10">
    <cfRule type="cellIs" dxfId="258" priority="99" operator="equal">
      <formula>"Y"</formula>
    </cfRule>
  </conditionalFormatting>
  <conditionalFormatting sqref="G11">
    <cfRule type="cellIs" dxfId="257" priority="111" operator="equal">
      <formula>"Y"</formula>
    </cfRule>
  </conditionalFormatting>
  <conditionalFormatting sqref="G3">
    <cfRule type="cellIs" dxfId="256" priority="15" operator="equal">
      <formula>"Y"</formula>
    </cfRule>
  </conditionalFormatting>
  <conditionalFormatting sqref="G4">
    <cfRule type="cellIs" dxfId="255" priority="27" operator="equal">
      <formula>"Y"</formula>
    </cfRule>
  </conditionalFormatting>
  <conditionalFormatting sqref="G5">
    <cfRule type="cellIs" dxfId="254" priority="39" operator="equal">
      <formula>"Y"</formula>
    </cfRule>
  </conditionalFormatting>
  <conditionalFormatting sqref="G6">
    <cfRule type="cellIs" dxfId="253" priority="51" operator="equal">
      <formula>"Y"</formula>
    </cfRule>
  </conditionalFormatting>
  <conditionalFormatting sqref="G8">
    <cfRule type="cellIs" dxfId="252" priority="75" operator="equal">
      <formula>"Y"</formula>
    </cfRule>
  </conditionalFormatting>
  <conditionalFormatting sqref="G9">
    <cfRule type="cellIs" dxfId="251" priority="87" operator="equal">
      <formula>"Y"</formula>
    </cfRule>
  </conditionalFormatting>
  <conditionalFormatting sqref="H10">
    <cfRule type="cellIs" dxfId="250" priority="100" operator="equal">
      <formula>"Y"</formula>
    </cfRule>
  </conditionalFormatting>
  <conditionalFormatting sqref="H11">
    <cfRule type="cellIs" dxfId="249" priority="112" operator="equal">
      <formula>"Y"</formula>
    </cfRule>
  </conditionalFormatting>
  <conditionalFormatting sqref="H3">
    <cfRule type="cellIs" dxfId="248" priority="16" operator="equal">
      <formula>"Y"</formula>
    </cfRule>
  </conditionalFormatting>
  <conditionalFormatting sqref="H4">
    <cfRule type="cellIs" dxfId="247" priority="28" operator="equal">
      <formula>"Y"</formula>
    </cfRule>
  </conditionalFormatting>
  <conditionalFormatting sqref="H5">
    <cfRule type="cellIs" dxfId="246" priority="40" operator="equal">
      <formula>"Y"</formula>
    </cfRule>
  </conditionalFormatting>
  <conditionalFormatting sqref="H6">
    <cfRule type="cellIs" dxfId="245" priority="52" operator="equal">
      <formula>"Y"</formula>
    </cfRule>
  </conditionalFormatting>
  <conditionalFormatting sqref="H8">
    <cfRule type="cellIs" dxfId="244" priority="76" operator="equal">
      <formula>"Y"</formula>
    </cfRule>
  </conditionalFormatting>
  <conditionalFormatting sqref="H9">
    <cfRule type="cellIs" dxfId="243" priority="88" operator="equal">
      <formula>"Y"</formula>
    </cfRule>
  </conditionalFormatting>
  <conditionalFormatting sqref="I10">
    <cfRule type="cellIs" dxfId="242" priority="101" operator="equal">
      <formula>"Y"</formula>
    </cfRule>
  </conditionalFormatting>
  <conditionalFormatting sqref="I11">
    <cfRule type="cellIs" dxfId="241" priority="113" operator="equal">
      <formula>"Y"</formula>
    </cfRule>
  </conditionalFormatting>
  <conditionalFormatting sqref="I3">
    <cfRule type="cellIs" dxfId="240" priority="17" operator="equal">
      <formula>"Y"</formula>
    </cfRule>
  </conditionalFormatting>
  <conditionalFormatting sqref="I4">
    <cfRule type="cellIs" dxfId="239" priority="29" operator="equal">
      <formula>"Y"</formula>
    </cfRule>
  </conditionalFormatting>
  <conditionalFormatting sqref="I5">
    <cfRule type="cellIs" dxfId="238" priority="41" operator="equal">
      <formula>"Y"</formula>
    </cfRule>
  </conditionalFormatting>
  <conditionalFormatting sqref="I6">
    <cfRule type="cellIs" dxfId="237" priority="53" operator="equal">
      <formula>"Y"</formula>
    </cfRule>
  </conditionalFormatting>
  <conditionalFormatting sqref="I8">
    <cfRule type="cellIs" dxfId="236" priority="77" operator="equal">
      <formula>"Y"</formula>
    </cfRule>
  </conditionalFormatting>
  <conditionalFormatting sqref="I9">
    <cfRule type="cellIs" dxfId="235" priority="89" operator="equal">
      <formula>"Y"</formula>
    </cfRule>
  </conditionalFormatting>
  <conditionalFormatting sqref="J10">
    <cfRule type="cellIs" dxfId="234" priority="102" operator="equal">
      <formula>"Y"</formula>
    </cfRule>
  </conditionalFormatting>
  <conditionalFormatting sqref="J11">
    <cfRule type="cellIs" dxfId="233" priority="114" operator="equal">
      <formula>"Y"</formula>
    </cfRule>
  </conditionalFormatting>
  <conditionalFormatting sqref="J3">
    <cfRule type="cellIs" dxfId="232" priority="18" operator="equal">
      <formula>"Y"</formula>
    </cfRule>
  </conditionalFormatting>
  <conditionalFormatting sqref="J4">
    <cfRule type="cellIs" dxfId="231" priority="30" operator="equal">
      <formula>"Y"</formula>
    </cfRule>
  </conditionalFormatting>
  <conditionalFormatting sqref="J5">
    <cfRule type="cellIs" dxfId="230" priority="42" operator="equal">
      <formula>"Y"</formula>
    </cfRule>
  </conditionalFormatting>
  <conditionalFormatting sqref="J6">
    <cfRule type="cellIs" dxfId="229" priority="54" operator="equal">
      <formula>"Y"</formula>
    </cfRule>
  </conditionalFormatting>
  <conditionalFormatting sqref="J8">
    <cfRule type="cellIs" dxfId="228" priority="78" operator="equal">
      <formula>"Y"</formula>
    </cfRule>
  </conditionalFormatting>
  <conditionalFormatting sqref="J9">
    <cfRule type="cellIs" dxfId="227" priority="90" operator="equal">
      <formula>"Y"</formula>
    </cfRule>
  </conditionalFormatting>
  <conditionalFormatting sqref="K10">
    <cfRule type="cellIs" dxfId="226" priority="103" operator="equal">
      <formula>"Y"</formula>
    </cfRule>
  </conditionalFormatting>
  <conditionalFormatting sqref="K11">
    <cfRule type="cellIs" dxfId="225" priority="115" operator="equal">
      <formula>"Y"</formula>
    </cfRule>
  </conditionalFormatting>
  <conditionalFormatting sqref="K3">
    <cfRule type="cellIs" dxfId="224" priority="19" operator="equal">
      <formula>"Y"</formula>
    </cfRule>
  </conditionalFormatting>
  <conditionalFormatting sqref="K4">
    <cfRule type="cellIs" dxfId="223" priority="31" operator="equal">
      <formula>"Y"</formula>
    </cfRule>
  </conditionalFormatting>
  <conditionalFormatting sqref="K5">
    <cfRule type="cellIs" dxfId="222" priority="43" operator="equal">
      <formula>"Y"</formula>
    </cfRule>
  </conditionalFormatting>
  <conditionalFormatting sqref="K6">
    <cfRule type="cellIs" dxfId="221" priority="55" operator="equal">
      <formula>"Y"</formula>
    </cfRule>
  </conditionalFormatting>
  <conditionalFormatting sqref="K8">
    <cfRule type="cellIs" dxfId="220" priority="79" operator="equal">
      <formula>"Y"</formula>
    </cfRule>
  </conditionalFormatting>
  <conditionalFormatting sqref="K9">
    <cfRule type="cellIs" dxfId="219" priority="91" operator="equal">
      <formula>"Y"</formula>
    </cfRule>
  </conditionalFormatting>
  <conditionalFormatting sqref="L10">
    <cfRule type="cellIs" dxfId="218" priority="104" operator="equal">
      <formula>"Y"</formula>
    </cfRule>
  </conditionalFormatting>
  <conditionalFormatting sqref="L11">
    <cfRule type="cellIs" dxfId="217" priority="116" operator="equal">
      <formula>"Y"</formula>
    </cfRule>
  </conditionalFormatting>
  <conditionalFormatting sqref="L3">
    <cfRule type="cellIs" dxfId="216" priority="20" operator="equal">
      <formula>"Y"</formula>
    </cfRule>
  </conditionalFormatting>
  <conditionalFormatting sqref="L4">
    <cfRule type="cellIs" dxfId="215" priority="32" operator="equal">
      <formula>"Y"</formula>
    </cfRule>
  </conditionalFormatting>
  <conditionalFormatting sqref="L5">
    <cfRule type="cellIs" dxfId="214" priority="44" operator="equal">
      <formula>"Y"</formula>
    </cfRule>
  </conditionalFormatting>
  <conditionalFormatting sqref="L6">
    <cfRule type="cellIs" dxfId="213" priority="56" operator="equal">
      <formula>"Y"</formula>
    </cfRule>
  </conditionalFormatting>
  <conditionalFormatting sqref="L8">
    <cfRule type="cellIs" dxfId="212" priority="80" operator="equal">
      <formula>"Y"</formula>
    </cfRule>
  </conditionalFormatting>
  <conditionalFormatting sqref="L9">
    <cfRule type="cellIs" dxfId="211" priority="92" operator="equal">
      <formula>"Y"</formula>
    </cfRule>
  </conditionalFormatting>
  <conditionalFormatting sqref="M10">
    <cfRule type="cellIs" dxfId="210" priority="105" operator="equal">
      <formula>"Y"</formula>
    </cfRule>
  </conditionalFormatting>
  <conditionalFormatting sqref="M11">
    <cfRule type="cellIs" dxfId="209" priority="117" operator="equal">
      <formula>"Y"</formula>
    </cfRule>
  </conditionalFormatting>
  <conditionalFormatting sqref="M3">
    <cfRule type="cellIs" dxfId="208" priority="21" operator="equal">
      <formula>"Y"</formula>
    </cfRule>
  </conditionalFormatting>
  <conditionalFormatting sqref="M4">
    <cfRule type="cellIs" dxfId="207" priority="33" operator="equal">
      <formula>"Y"</formula>
    </cfRule>
  </conditionalFormatting>
  <conditionalFormatting sqref="M5">
    <cfRule type="cellIs" dxfId="206" priority="45" operator="equal">
      <formula>"Y"</formula>
    </cfRule>
  </conditionalFormatting>
  <conditionalFormatting sqref="M6">
    <cfRule type="cellIs" dxfId="205" priority="57" operator="equal">
      <formula>"Y"</formula>
    </cfRule>
  </conditionalFormatting>
  <conditionalFormatting sqref="M8">
    <cfRule type="cellIs" dxfId="204" priority="81" operator="equal">
      <formula>"Y"</formula>
    </cfRule>
  </conditionalFormatting>
  <conditionalFormatting sqref="M9">
    <cfRule type="cellIs" dxfId="203" priority="93" operator="equal">
      <formula>"Y"</formula>
    </cfRule>
  </conditionalFormatting>
  <conditionalFormatting sqref="N10">
    <cfRule type="cellIs" dxfId="202" priority="106" operator="equal">
      <formula>"Y"</formula>
    </cfRule>
  </conditionalFormatting>
  <conditionalFormatting sqref="N11">
    <cfRule type="cellIs" dxfId="201" priority="118" operator="equal">
      <formula>"Y"</formula>
    </cfRule>
  </conditionalFormatting>
  <conditionalFormatting sqref="N3">
    <cfRule type="cellIs" dxfId="200" priority="22" operator="equal">
      <formula>"Y"</formula>
    </cfRule>
  </conditionalFormatting>
  <conditionalFormatting sqref="N4">
    <cfRule type="cellIs" dxfId="199" priority="34" operator="equal">
      <formula>"Y"</formula>
    </cfRule>
  </conditionalFormatting>
  <conditionalFormatting sqref="N5">
    <cfRule type="cellIs" dxfId="198" priority="46" operator="equal">
      <formula>"Y"</formula>
    </cfRule>
  </conditionalFormatting>
  <conditionalFormatting sqref="N6">
    <cfRule type="cellIs" dxfId="197" priority="58" operator="equal">
      <formula>"Y"</formula>
    </cfRule>
  </conditionalFormatting>
  <conditionalFormatting sqref="N8">
    <cfRule type="cellIs" dxfId="196" priority="82" operator="equal">
      <formula>"Y"</formula>
    </cfRule>
  </conditionalFormatting>
  <conditionalFormatting sqref="N9">
    <cfRule type="cellIs" dxfId="195" priority="94" operator="equal">
      <formula>"Y"</formula>
    </cfRule>
  </conditionalFormatting>
  <conditionalFormatting sqref="O10">
    <cfRule type="cellIs" dxfId="194" priority="107" operator="equal">
      <formula>"Y"</formula>
    </cfRule>
  </conditionalFormatting>
  <conditionalFormatting sqref="O11">
    <cfRule type="cellIs" dxfId="193" priority="119" operator="equal">
      <formula>"Y"</formula>
    </cfRule>
  </conditionalFormatting>
  <conditionalFormatting sqref="O3">
    <cfRule type="cellIs" dxfId="192" priority="23" operator="equal">
      <formula>"Y"</formula>
    </cfRule>
  </conditionalFormatting>
  <conditionalFormatting sqref="O4">
    <cfRule type="cellIs" dxfId="191" priority="35" operator="equal">
      <formula>"Y"</formula>
    </cfRule>
  </conditionalFormatting>
  <conditionalFormatting sqref="O5">
    <cfRule type="cellIs" dxfId="190" priority="47" operator="equal">
      <formula>"Y"</formula>
    </cfRule>
  </conditionalFormatting>
  <conditionalFormatting sqref="O6">
    <cfRule type="cellIs" dxfId="189" priority="59" operator="equal">
      <formula>"Y"</formula>
    </cfRule>
  </conditionalFormatting>
  <conditionalFormatting sqref="O8">
    <cfRule type="cellIs" dxfId="188" priority="83" operator="equal">
      <formula>"Y"</formula>
    </cfRule>
  </conditionalFormatting>
  <conditionalFormatting sqref="O9">
    <cfRule type="cellIs" dxfId="187" priority="95" operator="equal">
      <formula>"Y"</formula>
    </cfRule>
  </conditionalFormatting>
  <conditionalFormatting sqref="E7">
    <cfRule type="cellIs" dxfId="186" priority="1" operator="equal">
      <formula>"Y"</formula>
    </cfRule>
  </conditionalFormatting>
  <conditionalFormatting sqref="F7">
    <cfRule type="cellIs" dxfId="185" priority="2" operator="equal">
      <formula>"Y"</formula>
    </cfRule>
  </conditionalFormatting>
  <conditionalFormatting sqref="G7">
    <cfRule type="cellIs" dxfId="184" priority="3" operator="equal">
      <formula>"Y"</formula>
    </cfRule>
  </conditionalFormatting>
  <conditionalFormatting sqref="H7">
    <cfRule type="cellIs" dxfId="183" priority="4" operator="equal">
      <formula>"Y"</formula>
    </cfRule>
  </conditionalFormatting>
  <conditionalFormatting sqref="I7">
    <cfRule type="cellIs" dxfId="182" priority="5" operator="equal">
      <formula>"Y"</formula>
    </cfRule>
  </conditionalFormatting>
  <conditionalFormatting sqref="J7">
    <cfRule type="cellIs" dxfId="181" priority="6" operator="equal">
      <formula>"Y"</formula>
    </cfRule>
  </conditionalFormatting>
  <conditionalFormatting sqref="K7">
    <cfRule type="cellIs" dxfId="180" priority="7" operator="equal">
      <formula>"Y"</formula>
    </cfRule>
  </conditionalFormatting>
  <conditionalFormatting sqref="L7">
    <cfRule type="cellIs" dxfId="179" priority="8" operator="equal">
      <formula>"Y"</formula>
    </cfRule>
  </conditionalFormatting>
  <conditionalFormatting sqref="M7">
    <cfRule type="cellIs" dxfId="178" priority="9" operator="equal">
      <formula>"Y"</formula>
    </cfRule>
  </conditionalFormatting>
  <conditionalFormatting sqref="N7">
    <cfRule type="cellIs" dxfId="177" priority="10" operator="equal">
      <formula>"Y"</formula>
    </cfRule>
  </conditionalFormatting>
  <conditionalFormatting sqref="O7">
    <cfRule type="cellIs" dxfId="176" priority="11" operator="equal">
      <formula>"Y"</formula>
    </cfRule>
  </conditionalFormatting>
  <dataValidations count="1">
    <dataValidation type="list" allowBlank="1" showInputMessage="1" showErrorMessage="1" sqref="C3:C11 E3:O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topLeftCell="A49" workbookViewId="0">
      <selection activeCell="H55" sqref="H55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</cols>
  <sheetData>
    <row r="1" spans="1:9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v>17.3</v>
      </c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6">
        <f>ROUND('#ignore - misc calcs'!$B$2*2/3*'#ignore - misc calcs'!$B$6,0)</f>
        <v>30424</v>
      </c>
      <c r="I6" s="6"/>
    </row>
    <row r="8" spans="1:9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v>17.3</v>
      </c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6">
        <f>ROUND('#ignore - misc calcs'!$B$2*1/4*'#ignore - misc calcs'!$B$6,0)</f>
        <v>11409</v>
      </c>
      <c r="I13" s="6"/>
    </row>
    <row r="15" spans="1:9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v>17.3</v>
      </c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6">
        <f>ROUND('#ignore - misc calcs'!$B$2*1/12*'#ignore - misc calcs'!$B$6,0)</f>
        <v>3803</v>
      </c>
      <c r="I20" s="6"/>
    </row>
    <row r="22" spans="1:9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9">
      <c r="A29" s="2" t="str">
        <f>'Program targeting'!$B$7</f>
        <v>Initiation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1807196.8</v>
      </c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327.28+550</f>
        <v>877.28</v>
      </c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calcs'!$B$4*2/3,0)</f>
        <v>2060</v>
      </c>
      <c r="I34" s="6"/>
    </row>
    <row r="36" spans="1:9">
      <c r="A36" s="2" t="str">
        <f>'Program targeting'!$B$8</f>
        <v>Initiation counselling - patient schools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265430.39999999997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H31+151.52</f>
        <v>1028.8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calcs'!$B$4*1/12,0)</f>
        <v>258</v>
      </c>
      <c r="I41" s="6"/>
    </row>
    <row r="43" spans="1:9">
      <c r="A43" s="2" t="str">
        <f>'Program targeting'!$B$9</f>
        <v>Initiation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710711.65999999992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f>H31+42.14</f>
        <v>919.42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ROUND('#ignore - misc calcs'!$B$4*1/4,0)</f>
        <v>773</v>
      </c>
      <c r="I48" s="6"/>
    </row>
    <row r="50" spans="1:9">
      <c r="A50" s="2" t="str">
        <f>'Program targeting'!$B$10</f>
        <v>Advanced adherence counselling - PHC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37868.410000000003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16.190000000000001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ROUND(8%*'#ignore - misc calcs'!$B$5,0)</f>
        <v>2339</v>
      </c>
      <c r="I55" s="6"/>
    </row>
    <row r="57" spans="1:9">
      <c r="A57" s="2" t="str">
        <f>'Program targeting'!$B$11</f>
        <v>Advanced adherence counselling - family nurse</v>
      </c>
      <c r="B57" s="2" t="s">
        <v>22</v>
      </c>
      <c r="C57" s="2" t="s">
        <v>23</v>
      </c>
      <c r="D57" s="2" t="s">
        <v>24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25</v>
      </c>
      <c r="B58" t="s">
        <v>26</v>
      </c>
      <c r="C58" s="5"/>
      <c r="D58" s="6"/>
      <c r="E58" s="4" t="s">
        <v>27</v>
      </c>
      <c r="F58" s="6"/>
      <c r="G58" s="6"/>
      <c r="H58" s="7">
        <f>H59*H62</f>
        <v>16988.399999999998</v>
      </c>
      <c r="I58" s="6"/>
    </row>
    <row r="59" spans="1:9">
      <c r="A59" s="2" t="s">
        <v>28</v>
      </c>
      <c r="B59" t="s">
        <v>29</v>
      </c>
      <c r="C59" s="5"/>
      <c r="D59" s="6"/>
      <c r="E59" s="4" t="s">
        <v>27</v>
      </c>
      <c r="F59" s="6"/>
      <c r="G59" s="6"/>
      <c r="H59" s="6">
        <v>14.52</v>
      </c>
      <c r="I59" s="6"/>
    </row>
    <row r="60" spans="1:9">
      <c r="A60" s="2" t="s">
        <v>30</v>
      </c>
      <c r="B60" t="s">
        <v>31</v>
      </c>
      <c r="C60" s="5"/>
      <c r="D60" s="5"/>
      <c r="E60" s="4" t="s">
        <v>27</v>
      </c>
      <c r="F60" s="5"/>
      <c r="G60" s="5"/>
      <c r="H60" s="5"/>
      <c r="I60" s="5"/>
    </row>
    <row r="61" spans="1:9">
      <c r="A61" s="2" t="s">
        <v>32</v>
      </c>
      <c r="B61" t="s">
        <v>33</v>
      </c>
      <c r="C61" s="5"/>
      <c r="D61" s="5"/>
      <c r="E61" s="4" t="s">
        <v>27</v>
      </c>
      <c r="F61" s="5"/>
      <c r="G61" s="5"/>
      <c r="H61" s="5"/>
      <c r="I61" s="5"/>
    </row>
    <row r="62" spans="1:9">
      <c r="A62" s="2" t="s">
        <v>34</v>
      </c>
      <c r="B62" t="s">
        <v>31</v>
      </c>
      <c r="C62" s="5"/>
      <c r="D62" s="6"/>
      <c r="E62" s="4" t="s">
        <v>27</v>
      </c>
      <c r="F62" s="6"/>
      <c r="G62" s="6"/>
      <c r="H62" s="6">
        <f>ROUND(4%*'#ignore - misc calcs'!$B$5,0)</f>
        <v>1170</v>
      </c>
      <c r="I62" s="6"/>
    </row>
  </sheetData>
  <conditionalFormatting sqref="C10">
    <cfRule type="expression" dxfId="175" priority="23">
      <formula>COUNTIF(F10:I10,"&lt;&gt;" &amp; "")&gt;0</formula>
    </cfRule>
    <cfRule type="expression" dxfId="174" priority="24">
      <formula>AND(COUNTIF(F10:I10,"&lt;&gt;" &amp; "")&gt;0,NOT(ISBLANK(C10)))</formula>
    </cfRule>
  </conditionalFormatting>
  <conditionalFormatting sqref="C11">
    <cfRule type="expression" dxfId="173" priority="25">
      <formula>COUNTIF(F11:I11,"&lt;&gt;" &amp; "")&gt;0</formula>
    </cfRule>
    <cfRule type="expression" dxfId="172" priority="26">
      <formula>AND(COUNTIF(F11:I11,"&lt;&gt;" &amp; "")&gt;0,NOT(ISBLANK(C11)))</formula>
    </cfRule>
  </conditionalFormatting>
  <conditionalFormatting sqref="C12">
    <cfRule type="expression" dxfId="171" priority="27">
      <formula>COUNTIF(F12:I12,"&lt;&gt;" &amp; "")&gt;0</formula>
    </cfRule>
    <cfRule type="expression" dxfId="170" priority="28">
      <formula>AND(COUNTIF(F12:I12,"&lt;&gt;" &amp; "")&gt;0,NOT(ISBLANK(C12)))</formula>
    </cfRule>
  </conditionalFormatting>
  <conditionalFormatting sqref="C13">
    <cfRule type="expression" dxfId="169" priority="29">
      <formula>COUNTIF(F13:I13,"&lt;&gt;" &amp; "")&gt;0</formula>
    </cfRule>
    <cfRule type="expression" dxfId="168" priority="30">
      <formula>AND(COUNTIF(F13:I13,"&lt;&gt;" &amp; "")&gt;0,NOT(ISBLANK(C13)))</formula>
    </cfRule>
  </conditionalFormatting>
  <conditionalFormatting sqref="C16">
    <cfRule type="expression" dxfId="167" priority="31">
      <formula>COUNTIF(F16:I16,"&lt;&gt;" &amp; "")&gt;0</formula>
    </cfRule>
    <cfRule type="expression" dxfId="166" priority="32">
      <formula>AND(COUNTIF(F16:I16,"&lt;&gt;" &amp; "")&gt;0,NOT(ISBLANK(C16)))</formula>
    </cfRule>
  </conditionalFormatting>
  <conditionalFormatting sqref="C17">
    <cfRule type="expression" dxfId="165" priority="33">
      <formula>COUNTIF(F17:I17,"&lt;&gt;" &amp; "")&gt;0</formula>
    </cfRule>
    <cfRule type="expression" dxfId="164" priority="34">
      <formula>AND(COUNTIF(F17:I17,"&lt;&gt;" &amp; "")&gt;0,NOT(ISBLANK(C17)))</formula>
    </cfRule>
  </conditionalFormatting>
  <conditionalFormatting sqref="C18">
    <cfRule type="expression" dxfId="163" priority="35">
      <formula>COUNTIF(F18:I18,"&lt;&gt;" &amp; "")&gt;0</formula>
    </cfRule>
    <cfRule type="expression" dxfId="162" priority="36">
      <formula>AND(COUNTIF(F18:I18,"&lt;&gt;" &amp; "")&gt;0,NOT(ISBLANK(C18)))</formula>
    </cfRule>
  </conditionalFormatting>
  <conditionalFormatting sqref="C19">
    <cfRule type="expression" dxfId="161" priority="37">
      <formula>COUNTIF(F19:I19,"&lt;&gt;" &amp; "")&gt;0</formula>
    </cfRule>
    <cfRule type="expression" dxfId="160" priority="38">
      <formula>AND(COUNTIF(F19:I19,"&lt;&gt;" &amp; "")&gt;0,NOT(ISBLANK(C19)))</formula>
    </cfRule>
  </conditionalFormatting>
  <conditionalFormatting sqref="C2">
    <cfRule type="expression" dxfId="159" priority="11">
      <formula>COUNTIF(F2:I2,"&lt;&gt;" &amp; "")&gt;0</formula>
    </cfRule>
    <cfRule type="expression" dxfId="158" priority="12">
      <formula>AND(COUNTIF(F2:I2,"&lt;&gt;" &amp; "")&gt;0,NOT(ISBLANK(C2)))</formula>
    </cfRule>
  </conditionalFormatting>
  <conditionalFormatting sqref="C20">
    <cfRule type="expression" dxfId="157" priority="39">
      <formula>COUNTIF(F20:I20,"&lt;&gt;" &amp; "")&gt;0</formula>
    </cfRule>
    <cfRule type="expression" dxfId="156" priority="40">
      <formula>AND(COUNTIF(F20:I20,"&lt;&gt;" &amp; "")&gt;0,NOT(ISBLANK(C20)))</formula>
    </cfRule>
  </conditionalFormatting>
  <conditionalFormatting sqref="C23">
    <cfRule type="expression" dxfId="155" priority="41">
      <formula>COUNTIF(F23:I23,"&lt;&gt;" &amp; "")&gt;0</formula>
    </cfRule>
    <cfRule type="expression" dxfId="154" priority="42">
      <formula>AND(COUNTIF(F23:I23,"&lt;&gt;" &amp; "")&gt;0,NOT(ISBLANK(C23)))</formula>
    </cfRule>
  </conditionalFormatting>
  <conditionalFormatting sqref="C24">
    <cfRule type="expression" dxfId="153" priority="43">
      <formula>COUNTIF(F24:I24,"&lt;&gt;" &amp; "")&gt;0</formula>
    </cfRule>
    <cfRule type="expression" dxfId="152" priority="44">
      <formula>AND(COUNTIF(F24:I24,"&lt;&gt;" &amp; "")&gt;0,NOT(ISBLANK(C24)))</formula>
    </cfRule>
  </conditionalFormatting>
  <conditionalFormatting sqref="C25">
    <cfRule type="expression" dxfId="151" priority="45">
      <formula>COUNTIF(F25:I25,"&lt;&gt;" &amp; "")&gt;0</formula>
    </cfRule>
    <cfRule type="expression" dxfId="150" priority="46">
      <formula>AND(COUNTIF(F25:I25,"&lt;&gt;" &amp; "")&gt;0,NOT(ISBLANK(C25)))</formula>
    </cfRule>
  </conditionalFormatting>
  <conditionalFormatting sqref="C26">
    <cfRule type="expression" dxfId="149" priority="47">
      <formula>COUNTIF(F26:I26,"&lt;&gt;" &amp; "")&gt;0</formula>
    </cfRule>
    <cfRule type="expression" dxfId="148" priority="48">
      <formula>AND(COUNTIF(F26:I26,"&lt;&gt;" &amp; "")&gt;0,NOT(ISBLANK(C26)))</formula>
    </cfRule>
  </conditionalFormatting>
  <conditionalFormatting sqref="C27">
    <cfRule type="expression" dxfId="147" priority="49">
      <formula>COUNTIF(F27:I27,"&lt;&gt;" &amp; "")&gt;0</formula>
    </cfRule>
    <cfRule type="expression" dxfId="146" priority="50">
      <formula>AND(COUNTIF(F27:I27,"&lt;&gt;" &amp; "")&gt;0,NOT(ISBLANK(C27)))</formula>
    </cfRule>
  </conditionalFormatting>
  <conditionalFormatting sqref="C3">
    <cfRule type="expression" dxfId="145" priority="13">
      <formula>COUNTIF(F3:I3,"&lt;&gt;" &amp; "")&gt;0</formula>
    </cfRule>
    <cfRule type="expression" dxfId="144" priority="14">
      <formula>AND(COUNTIF(F3:I3,"&lt;&gt;" &amp; "")&gt;0,NOT(ISBLANK(C3)))</formula>
    </cfRule>
  </conditionalFormatting>
  <conditionalFormatting sqref="C37">
    <cfRule type="expression" dxfId="143" priority="61">
      <formula>COUNTIF(F37:I37,"&lt;&gt;" &amp; "")&gt;0</formula>
    </cfRule>
    <cfRule type="expression" dxfId="142" priority="62">
      <formula>AND(COUNTIF(F37:I37,"&lt;&gt;" &amp; "")&gt;0,NOT(ISBLANK(C37)))</formula>
    </cfRule>
  </conditionalFormatting>
  <conditionalFormatting sqref="C38">
    <cfRule type="expression" dxfId="141" priority="63">
      <formula>COUNTIF(F38:I38,"&lt;&gt;" &amp; "")&gt;0</formula>
    </cfRule>
    <cfRule type="expression" dxfId="140" priority="64">
      <formula>AND(COUNTIF(F38:I38,"&lt;&gt;" &amp; "")&gt;0,NOT(ISBLANK(C38)))</formula>
    </cfRule>
  </conditionalFormatting>
  <conditionalFormatting sqref="C39">
    <cfRule type="expression" dxfId="139" priority="65">
      <formula>COUNTIF(F39:I39,"&lt;&gt;" &amp; "")&gt;0</formula>
    </cfRule>
    <cfRule type="expression" dxfId="138" priority="66">
      <formula>AND(COUNTIF(F39:I39,"&lt;&gt;" &amp; "")&gt;0,NOT(ISBLANK(C39)))</formula>
    </cfRule>
  </conditionalFormatting>
  <conditionalFormatting sqref="C4">
    <cfRule type="expression" dxfId="137" priority="15">
      <formula>COUNTIF(F4:I4,"&lt;&gt;" &amp; "")&gt;0</formula>
    </cfRule>
    <cfRule type="expression" dxfId="136" priority="16">
      <formula>AND(COUNTIF(F4:I4,"&lt;&gt;" &amp; "")&gt;0,NOT(ISBLANK(C4)))</formula>
    </cfRule>
  </conditionalFormatting>
  <conditionalFormatting sqref="C40">
    <cfRule type="expression" dxfId="135" priority="67">
      <formula>COUNTIF(F40:I40,"&lt;&gt;" &amp; "")&gt;0</formula>
    </cfRule>
    <cfRule type="expression" dxfId="134" priority="68">
      <formula>AND(COUNTIF(F40:I40,"&lt;&gt;" &amp; "")&gt;0,NOT(ISBLANK(C40)))</formula>
    </cfRule>
  </conditionalFormatting>
  <conditionalFormatting sqref="C41">
    <cfRule type="expression" dxfId="133" priority="69">
      <formula>COUNTIF(F41:I41,"&lt;&gt;" &amp; "")&gt;0</formula>
    </cfRule>
    <cfRule type="expression" dxfId="132" priority="70">
      <formula>AND(COUNTIF(F41:I41,"&lt;&gt;" &amp; "")&gt;0,NOT(ISBLANK(C41)))</formula>
    </cfRule>
  </conditionalFormatting>
  <conditionalFormatting sqref="C44">
    <cfRule type="expression" dxfId="131" priority="71">
      <formula>COUNTIF(F44:I44,"&lt;&gt;" &amp; "")&gt;0</formula>
    </cfRule>
    <cfRule type="expression" dxfId="130" priority="72">
      <formula>AND(COUNTIF(F44:I44,"&lt;&gt;" &amp; "")&gt;0,NOT(ISBLANK(C44)))</formula>
    </cfRule>
  </conditionalFormatting>
  <conditionalFormatting sqref="C45">
    <cfRule type="expression" dxfId="129" priority="73">
      <formula>COUNTIF(F45:I45,"&lt;&gt;" &amp; "")&gt;0</formula>
    </cfRule>
    <cfRule type="expression" dxfId="128" priority="74">
      <formula>AND(COUNTIF(F45:I45,"&lt;&gt;" &amp; "")&gt;0,NOT(ISBLANK(C45)))</formula>
    </cfRule>
  </conditionalFormatting>
  <conditionalFormatting sqref="C46">
    <cfRule type="expression" dxfId="127" priority="75">
      <formula>COUNTIF(F46:I46,"&lt;&gt;" &amp; "")&gt;0</formula>
    </cfRule>
    <cfRule type="expression" dxfId="126" priority="76">
      <formula>AND(COUNTIF(F46:I46,"&lt;&gt;" &amp; "")&gt;0,NOT(ISBLANK(C46)))</formula>
    </cfRule>
  </conditionalFormatting>
  <conditionalFormatting sqref="C47">
    <cfRule type="expression" dxfId="125" priority="77">
      <formula>COUNTIF(F47:I47,"&lt;&gt;" &amp; "")&gt;0</formula>
    </cfRule>
    <cfRule type="expression" dxfId="124" priority="78">
      <formula>AND(COUNTIF(F47:I47,"&lt;&gt;" &amp; "")&gt;0,NOT(ISBLANK(C47)))</formula>
    </cfRule>
  </conditionalFormatting>
  <conditionalFormatting sqref="C48">
    <cfRule type="expression" dxfId="123" priority="79">
      <formula>COUNTIF(F48:I48,"&lt;&gt;" &amp; "")&gt;0</formula>
    </cfRule>
    <cfRule type="expression" dxfId="122" priority="80">
      <formula>AND(COUNTIF(F48:I48,"&lt;&gt;" &amp; "")&gt;0,NOT(ISBLANK(C48)))</formula>
    </cfRule>
  </conditionalFormatting>
  <conditionalFormatting sqref="C5">
    <cfRule type="expression" dxfId="121" priority="17">
      <formula>COUNTIF(F5:I5,"&lt;&gt;" &amp; "")&gt;0</formula>
    </cfRule>
    <cfRule type="expression" dxfId="120" priority="18">
      <formula>AND(COUNTIF(F5:I5,"&lt;&gt;" &amp; "")&gt;0,NOT(ISBLANK(C5)))</formula>
    </cfRule>
  </conditionalFormatting>
  <conditionalFormatting sqref="C51">
    <cfRule type="expression" dxfId="119" priority="81">
      <formula>COUNTIF(F51:I51,"&lt;&gt;" &amp; "")&gt;0</formula>
    </cfRule>
    <cfRule type="expression" dxfId="118" priority="82">
      <formula>AND(COUNTIF(F51:I51,"&lt;&gt;" &amp; "")&gt;0,NOT(ISBLANK(C51)))</formula>
    </cfRule>
  </conditionalFormatting>
  <conditionalFormatting sqref="C52">
    <cfRule type="expression" dxfId="117" priority="83">
      <formula>COUNTIF(F52:I52,"&lt;&gt;" &amp; "")&gt;0</formula>
    </cfRule>
    <cfRule type="expression" dxfId="116" priority="84">
      <formula>AND(COUNTIF(F52:I52,"&lt;&gt;" &amp; "")&gt;0,NOT(ISBLANK(C52)))</formula>
    </cfRule>
  </conditionalFormatting>
  <conditionalFormatting sqref="C53">
    <cfRule type="expression" dxfId="115" priority="85">
      <formula>COUNTIF(F53:I53,"&lt;&gt;" &amp; "")&gt;0</formula>
    </cfRule>
    <cfRule type="expression" dxfId="114" priority="86">
      <formula>AND(COUNTIF(F53:I53,"&lt;&gt;" &amp; "")&gt;0,NOT(ISBLANK(C53)))</formula>
    </cfRule>
  </conditionalFormatting>
  <conditionalFormatting sqref="C54">
    <cfRule type="expression" dxfId="113" priority="87">
      <formula>COUNTIF(F54:I54,"&lt;&gt;" &amp; "")&gt;0</formula>
    </cfRule>
    <cfRule type="expression" dxfId="112" priority="88">
      <formula>AND(COUNTIF(F54:I54,"&lt;&gt;" &amp; "")&gt;0,NOT(ISBLANK(C54)))</formula>
    </cfRule>
  </conditionalFormatting>
  <conditionalFormatting sqref="C55">
    <cfRule type="expression" dxfId="111" priority="89">
      <formula>COUNTIF(F55:I55,"&lt;&gt;" &amp; "")&gt;0</formula>
    </cfRule>
    <cfRule type="expression" dxfId="110" priority="90">
      <formula>AND(COUNTIF(F55:I55,"&lt;&gt;" &amp; "")&gt;0,NOT(ISBLANK(C55)))</formula>
    </cfRule>
  </conditionalFormatting>
  <conditionalFormatting sqref="C58">
    <cfRule type="expression" dxfId="109" priority="91">
      <formula>COUNTIF(F58:I58,"&lt;&gt;" &amp; "")&gt;0</formula>
    </cfRule>
    <cfRule type="expression" dxfId="108" priority="92">
      <formula>AND(COUNTIF(F58:I58,"&lt;&gt;" &amp; "")&gt;0,NOT(ISBLANK(C58)))</formula>
    </cfRule>
  </conditionalFormatting>
  <conditionalFormatting sqref="C59">
    <cfRule type="expression" dxfId="107" priority="93">
      <formula>COUNTIF(F59:I59,"&lt;&gt;" &amp; "")&gt;0</formula>
    </cfRule>
    <cfRule type="expression" dxfId="106" priority="94">
      <formula>AND(COUNTIF(F59:I59,"&lt;&gt;" &amp; "")&gt;0,NOT(ISBLANK(C59)))</formula>
    </cfRule>
  </conditionalFormatting>
  <conditionalFormatting sqref="C6">
    <cfRule type="expression" dxfId="105" priority="19">
      <formula>COUNTIF(F6:I6,"&lt;&gt;" &amp; "")&gt;0</formula>
    </cfRule>
    <cfRule type="expression" dxfId="104" priority="20">
      <formula>AND(COUNTIF(F6:I6,"&lt;&gt;" &amp; "")&gt;0,NOT(ISBLANK(C6)))</formula>
    </cfRule>
  </conditionalFormatting>
  <conditionalFormatting sqref="C60">
    <cfRule type="expression" dxfId="103" priority="95">
      <formula>COUNTIF(F60:I60,"&lt;&gt;" &amp; "")&gt;0</formula>
    </cfRule>
    <cfRule type="expression" dxfId="102" priority="96">
      <formula>AND(COUNTIF(F60:I60,"&lt;&gt;" &amp; "")&gt;0,NOT(ISBLANK(C60)))</formula>
    </cfRule>
  </conditionalFormatting>
  <conditionalFormatting sqref="C61">
    <cfRule type="expression" dxfId="101" priority="97">
      <formula>COUNTIF(F61:I61,"&lt;&gt;" &amp; "")&gt;0</formula>
    </cfRule>
    <cfRule type="expression" dxfId="100" priority="98">
      <formula>AND(COUNTIF(F61:I61,"&lt;&gt;" &amp; "")&gt;0,NOT(ISBLANK(C61)))</formula>
    </cfRule>
  </conditionalFormatting>
  <conditionalFormatting sqref="C62">
    <cfRule type="expression" dxfId="99" priority="99">
      <formula>COUNTIF(F62:I62,"&lt;&gt;" &amp; "")&gt;0</formula>
    </cfRule>
    <cfRule type="expression" dxfId="98" priority="100">
      <formula>AND(COUNTIF(F62:I62,"&lt;&gt;" &amp; "")&gt;0,NOT(ISBLANK(C62)))</formula>
    </cfRule>
  </conditionalFormatting>
  <conditionalFormatting sqref="C9">
    <cfRule type="expression" dxfId="97" priority="21">
      <formula>COUNTIF(F9:I9,"&lt;&gt;" &amp; "")&gt;0</formula>
    </cfRule>
    <cfRule type="expression" dxfId="96" priority="22">
      <formula>AND(COUNTIF(F9:I9,"&lt;&gt;" &amp; "")&gt;0,NOT(ISBLANK(C9)))</formula>
    </cfRule>
  </conditionalFormatting>
  <conditionalFormatting sqref="C30">
    <cfRule type="expression" dxfId="95" priority="1">
      <formula>COUNTIF(F30:I30,"&lt;&gt;" &amp; "")&gt;0</formula>
    </cfRule>
    <cfRule type="expression" dxfId="94" priority="2">
      <formula>AND(COUNTIF(F30:I30,"&lt;&gt;" &amp; "")&gt;0,NOT(ISBLANK(C30)))</formula>
    </cfRule>
  </conditionalFormatting>
  <conditionalFormatting sqref="C31">
    <cfRule type="expression" dxfId="93" priority="3">
      <formula>COUNTIF(F31:I31,"&lt;&gt;" &amp; "")&gt;0</formula>
    </cfRule>
    <cfRule type="expression" dxfId="92" priority="4">
      <formula>AND(COUNTIF(F31:I31,"&lt;&gt;" &amp; "")&gt;0,NOT(ISBLANK(C31)))</formula>
    </cfRule>
  </conditionalFormatting>
  <conditionalFormatting sqref="C32">
    <cfRule type="expression" dxfId="91" priority="5">
      <formula>COUNTIF(F32:I32,"&lt;&gt;" &amp; "")&gt;0</formula>
    </cfRule>
    <cfRule type="expression" dxfId="90" priority="6">
      <formula>AND(COUNTIF(F32:I32,"&lt;&gt;" &amp; "")&gt;0,NOT(ISBLANK(C32)))</formula>
    </cfRule>
  </conditionalFormatting>
  <conditionalFormatting sqref="C33">
    <cfRule type="expression" dxfId="89" priority="7">
      <formula>COUNTIF(F33:I33,"&lt;&gt;" &amp; "")&gt;0</formula>
    </cfRule>
    <cfRule type="expression" dxfId="88" priority="8">
      <formula>AND(COUNTIF(F33:I33,"&lt;&gt;" &amp; "")&gt;0,NOT(ISBLANK(C33)))</formula>
    </cfRule>
  </conditionalFormatting>
  <conditionalFormatting sqref="C34">
    <cfRule type="expression" dxfId="87" priority="9">
      <formula>COUNTIF(F34:I34,"&lt;&gt;" &amp; "")&gt;0</formula>
    </cfRule>
    <cfRule type="expression" dxfId="86" priority="10">
      <formula>AND(COUNTIF(F34:I34,"&lt;&gt;" &amp; "")&gt;0,NOT(ISBLANK(C34)))</formula>
    </cfRule>
  </conditionalFormatting>
  <dataValidations count="1">
    <dataValidation type="list" allowBlank="1" showInputMessage="1" showErrorMessage="1" sqref="B3 B59 B52 B45 B38 B24 B17 B10 B31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topLeftCell="B1" workbookViewId="0">
      <selection activeCell="L12" sqref="L12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5" width="15.83203125" style="12" customWidth="1"/>
  </cols>
  <sheetData>
    <row r="1" spans="1:15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</v>
      </c>
      <c r="L1" s="8" t="str">
        <f>'Program targeting'!$B$8</f>
        <v>Initiation counselling - patient schools</v>
      </c>
      <c r="M1" s="8" t="str">
        <f>'Program targeting'!$B$9</f>
        <v>Initiation counselling - PHC</v>
      </c>
      <c r="N1" s="8" t="str">
        <f>'Program targeting'!$B$10</f>
        <v>Advanced adherence counselling - PHC</v>
      </c>
      <c r="O1" s="8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38</v>
      </c>
      <c r="D2" s="5"/>
      <c r="E2" s="5"/>
      <c r="G2" s="17">
        <f>'#ignore - misc calcs'!$B$23</f>
        <v>6.85</v>
      </c>
      <c r="H2" s="17">
        <f>'#ignore - misc calcs'!$B$24</f>
        <v>6.85</v>
      </c>
      <c r="I2" s="17">
        <f>'#ignore - misc calcs'!$B$25</f>
        <v>8</v>
      </c>
      <c r="J2" s="9"/>
      <c r="K2" s="9"/>
      <c r="L2" s="9"/>
      <c r="M2" s="9"/>
      <c r="N2" s="9"/>
      <c r="O2" s="9"/>
    </row>
    <row r="4" spans="1:15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</v>
      </c>
      <c r="L4" s="8" t="str">
        <f>'Program targeting'!$B$8</f>
        <v>Initiation counselling - patient schools</v>
      </c>
      <c r="M4" s="8" t="str">
        <f>'Program targeting'!$B$9</f>
        <v>Initiation counselling - PHC</v>
      </c>
      <c r="N4" s="8" t="str">
        <f>'Program targeting'!$B$10</f>
        <v>Advanced adherence counselling - PHC</v>
      </c>
      <c r="O4" s="8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  <c r="O5" s="9"/>
    </row>
    <row r="7" spans="1:15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</v>
      </c>
      <c r="L7" s="8" t="str">
        <f>'Program targeting'!$B$8</f>
        <v>Initiation counselling - patient schools</v>
      </c>
      <c r="M7" s="8" t="str">
        <f>'Program targeting'!$B$9</f>
        <v>Initiation counselling - PHC</v>
      </c>
      <c r="N7" s="8" t="str">
        <f>'Program targeting'!$B$10</f>
        <v>Advanced adherence counselling - PHC</v>
      </c>
      <c r="O7" s="8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10">
        <v>1</v>
      </c>
      <c r="N8" s="9"/>
      <c r="O8" s="9"/>
    </row>
    <row r="10" spans="1:15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</v>
      </c>
      <c r="L10" s="8" t="str">
        <f>'Program targeting'!$B$8</f>
        <v>Initiation counselling - patient schools</v>
      </c>
      <c r="M10" s="8" t="str">
        <f>'Program targeting'!$B$9</f>
        <v>Initiation counselling - PHC</v>
      </c>
      <c r="N10" s="8" t="str">
        <f>'Program targeting'!$B$10</f>
        <v>Advanced adherence counselling - PHC</v>
      </c>
      <c r="O10" s="8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0.55000000000000004</v>
      </c>
      <c r="C11" s="6" t="s">
        <v>38</v>
      </c>
      <c r="D11" s="5"/>
      <c r="E11" s="5"/>
      <c r="G11" s="9"/>
      <c r="H11" s="9"/>
      <c r="I11" s="9"/>
      <c r="J11" s="9"/>
      <c r="K11" s="11"/>
      <c r="L11" s="10">
        <v>0.25</v>
      </c>
      <c r="M11" s="10">
        <v>0.25</v>
      </c>
      <c r="N11" s="9"/>
      <c r="O11" s="9"/>
    </row>
    <row r="13" spans="1:15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</v>
      </c>
      <c r="L13" s="8" t="str">
        <f>'Program targeting'!$B$8</f>
        <v>Initiation counselling - patient schools</v>
      </c>
      <c r="M13" s="8" t="str">
        <f>'Program targeting'!$B$9</f>
        <v>Initiation counselling - PHC</v>
      </c>
      <c r="N13" s="8" t="str">
        <f>'Program targeting'!$B$10</f>
        <v>Advanced adherence counselling - PHC</v>
      </c>
      <c r="O13" s="8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9"/>
      <c r="N14" s="10">
        <v>1</v>
      </c>
      <c r="O14" s="10">
        <v>1</v>
      </c>
    </row>
  </sheetData>
  <conditionalFormatting sqref="D11 D14 D2 D5 D8">
    <cfRule type="expression" dxfId="85" priority="150">
      <formula>COUNTIF(F2:O2,"&lt;&gt;" &amp; "")&lt;2</formula>
    </cfRule>
    <cfRule type="expression" dxfId="84" priority="151">
      <formula>AND(COUNTIF(F2:O2,"&lt;&gt;"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J11:K11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J14:K14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J2:K2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29" id="{642494D2-0899-104A-B08E-BD6D03F3AA7B}">
            <xm:f>AND('Program targeting'!$C$6&lt;&gt;"Y",NOT(ISBLANK(K5)))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23421D63-3769-7940-B00E-373508DE465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7" id="{714D158E-965B-134A-B1DC-0FF31F032F19}">
            <xm:f>AND('Program targeting'!$C$8&lt;&gt;"Y",NOT(ISBLANK(K8)))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8BA81806-804D-F74A-A94C-FB8797A3B0E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B1:M32"/>
  <sheetViews>
    <sheetView workbookViewId="0">
      <selection activeCell="B31" sqref="B31"/>
    </sheetView>
  </sheetViews>
  <sheetFormatPr baseColWidth="10" defaultRowHeight="15"/>
  <cols>
    <col min="2" max="2" width="13.5" bestFit="1" customWidth="1"/>
    <col min="3" max="3" width="15" bestFit="1" customWidth="1"/>
  </cols>
  <sheetData>
    <row r="1" spans="2:6">
      <c r="B1" s="110">
        <f>B2*8%</f>
        <v>3650.88</v>
      </c>
      <c r="C1" s="110">
        <f>B1*92%</f>
        <v>3358.8096</v>
      </c>
    </row>
    <row r="2" spans="2:6">
      <c r="B2" s="13">
        <v>45636</v>
      </c>
      <c r="C2" t="s">
        <v>49</v>
      </c>
      <c r="F2">
        <v>3227</v>
      </c>
    </row>
    <row r="3" spans="2:6">
      <c r="B3" s="13">
        <v>3344</v>
      </c>
      <c r="C3" t="s">
        <v>50</v>
      </c>
      <c r="F3">
        <f>F2*96%</f>
        <v>3097.92</v>
      </c>
    </row>
    <row r="4" spans="2:6">
      <c r="B4" s="13">
        <v>3090</v>
      </c>
      <c r="C4" t="s">
        <v>51</v>
      </c>
    </row>
    <row r="5" spans="2:6">
      <c r="B5" s="13">
        <v>29239</v>
      </c>
      <c r="C5" t="s">
        <v>52</v>
      </c>
    </row>
    <row r="6" spans="2:6">
      <c r="B6" s="13">
        <v>1</v>
      </c>
      <c r="C6" t="s">
        <v>53</v>
      </c>
    </row>
    <row r="8" spans="2:6">
      <c r="B8" s="13">
        <f>'Spending data'!H2</f>
        <v>526335.20000000007</v>
      </c>
      <c r="C8" t="str">
        <f>'Program targeting'!A3</f>
        <v>Blood glucose test (PHC level)</v>
      </c>
    </row>
    <row r="9" spans="2:6">
      <c r="B9" s="13">
        <f>'Spending data'!H9</f>
        <v>197375.7</v>
      </c>
      <c r="C9" t="str">
        <f>'Program targeting'!A4</f>
        <v>Blood glucose test (Feldsher post family nurse)</v>
      </c>
    </row>
    <row r="10" spans="2:6">
      <c r="B10" s="13">
        <f>'Spending data'!H16</f>
        <v>65791.900000000009</v>
      </c>
      <c r="C10" t="str">
        <f>'Program targeting'!A5</f>
        <v>Blood glucose test (outreach/community-based)</v>
      </c>
    </row>
    <row r="11" spans="2:6">
      <c r="B11" s="13">
        <f>'Spending data'!H23</f>
        <v>334400</v>
      </c>
      <c r="C11" t="str">
        <f>'Program targeting'!A6</f>
        <v>Confirmatory test</v>
      </c>
    </row>
    <row r="12" spans="2:6">
      <c r="B12" s="13">
        <f>'Spending data'!H30</f>
        <v>1807196.8</v>
      </c>
      <c r="C12" t="str">
        <f>'Program targeting'!A7</f>
        <v>Initiation</v>
      </c>
    </row>
    <row r="13" spans="2:6">
      <c r="B13" s="13">
        <f>'Spending data'!H37</f>
        <v>265430.39999999997</v>
      </c>
      <c r="C13" t="str">
        <f>'Program targeting'!A8</f>
        <v>Initiation counselling - patient schools</v>
      </c>
    </row>
    <row r="14" spans="2:6">
      <c r="B14" s="13">
        <f>'Spending data'!H44</f>
        <v>710711.65999999992</v>
      </c>
      <c r="C14" t="str">
        <f>'Program targeting'!A9</f>
        <v>Initiation counselling - PHC</v>
      </c>
    </row>
    <row r="15" spans="2:6">
      <c r="B15" s="13">
        <f>'Spending data'!H51</f>
        <v>37868.410000000003</v>
      </c>
      <c r="C15" t="str">
        <f>'Program targeting'!A10</f>
        <v>Advanced adherence counselling - PHC</v>
      </c>
    </row>
    <row r="16" spans="2:6">
      <c r="B16" s="13">
        <f>'Spending data'!H58</f>
        <v>16988.399999999998</v>
      </c>
      <c r="C16" t="str">
        <f>'Program targeting'!A11</f>
        <v>Advanced adherence counselling - family nurse</v>
      </c>
    </row>
    <row r="19" spans="2:13">
      <c r="B19" s="13">
        <f>(1247757.857-52315)</f>
        <v>1195442.8570000001</v>
      </c>
      <c r="C19" t="s">
        <v>55</v>
      </c>
    </row>
    <row r="20" spans="2:13">
      <c r="B20" s="14">
        <f>'Spending data'!H6/$B$19</f>
        <v>2.5449982675332508E-2</v>
      </c>
      <c r="C20" t="s">
        <v>56</v>
      </c>
    </row>
    <row r="21" spans="2:13">
      <c r="B21" s="14">
        <f>'Spending data'!H13/$B$19</f>
        <v>9.5437435032496905E-3</v>
      </c>
      <c r="C21" t="s">
        <v>57</v>
      </c>
    </row>
    <row r="22" spans="2:13">
      <c r="B22" s="14">
        <f>'Spending data'!H20/$B$19</f>
        <v>3.1812478344165635E-3</v>
      </c>
      <c r="C22" t="s">
        <v>58</v>
      </c>
    </row>
    <row r="23" spans="2:13">
      <c r="B23">
        <v>6.85</v>
      </c>
      <c r="C23" t="s">
        <v>66</v>
      </c>
    </row>
    <row r="24" spans="2:13">
      <c r="B24">
        <f>B23</f>
        <v>6.85</v>
      </c>
      <c r="C24" t="s">
        <v>67</v>
      </c>
    </row>
    <row r="25" spans="2:13">
      <c r="B25">
        <v>8</v>
      </c>
      <c r="C25" t="s">
        <v>68</v>
      </c>
    </row>
    <row r="26" spans="2:13">
      <c r="B26" s="15">
        <f>B20*'Program effects'!G2</f>
        <v>0.17433238132602766</v>
      </c>
      <c r="C26" t="s">
        <v>62</v>
      </c>
    </row>
    <row r="27" spans="2:13">
      <c r="B27" s="15">
        <f>B21*'Program effects'!H2</f>
        <v>6.5374642997260382E-2</v>
      </c>
      <c r="C27" t="s">
        <v>63</v>
      </c>
    </row>
    <row r="28" spans="2:13">
      <c r="B28" s="15">
        <f>B22*'Program effects'!I2</f>
        <v>2.5449982675332508E-2</v>
      </c>
      <c r="C28" t="s">
        <v>64</v>
      </c>
    </row>
    <row r="29" spans="2:13">
      <c r="B29" s="16">
        <f>SUM(B26:B28)</f>
        <v>0.26515700699862055</v>
      </c>
      <c r="C29" t="s">
        <v>65</v>
      </c>
      <c r="M29" s="4" t="s">
        <v>54</v>
      </c>
    </row>
    <row r="30" spans="2:13">
      <c r="B30" s="13">
        <v>13733</v>
      </c>
      <c r="C30" t="s">
        <v>59</v>
      </c>
    </row>
    <row r="31" spans="2:13">
      <c r="B31" s="18">
        <f>B30*B29</f>
        <v>3641.4011771120558</v>
      </c>
      <c r="C31" t="s">
        <v>60</v>
      </c>
    </row>
    <row r="32" spans="2:13">
      <c r="B32" s="13">
        <v>3650.88</v>
      </c>
      <c r="C32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L34"/>
  <sheetViews>
    <sheetView tabSelected="1" zoomScale="97" workbookViewId="0">
      <selection activeCell="E32" sqref="E32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2" customWidth="1"/>
  </cols>
  <sheetData>
    <row r="2" spans="1:7" ht="64">
      <c r="C2" s="12" t="s">
        <v>28</v>
      </c>
      <c r="D2" s="12" t="s">
        <v>75</v>
      </c>
      <c r="E2" s="12" t="s">
        <v>74</v>
      </c>
      <c r="G2" s="12" t="s">
        <v>76</v>
      </c>
    </row>
    <row r="3" spans="1:7">
      <c r="A3" s="98" t="s">
        <v>147</v>
      </c>
      <c r="B3" s="98"/>
      <c r="C3" s="99"/>
      <c r="D3" s="99"/>
      <c r="E3" s="100">
        <f>SUM(E4:E6)</f>
        <v>789502.80000000016</v>
      </c>
      <c r="F3" s="101">
        <f>SUM(F4:F6)</f>
        <v>2.3232310243627933E-3</v>
      </c>
    </row>
    <row r="4" spans="1:7">
      <c r="B4" t="s">
        <v>41</v>
      </c>
      <c r="C4" s="90">
        <f>'Spending data'!H3</f>
        <v>17.3</v>
      </c>
      <c r="D4" s="93">
        <f>E4/C4</f>
        <v>30424.000000000004</v>
      </c>
      <c r="E4" s="92">
        <f>'Spending data'!H2</f>
        <v>526335.20000000007</v>
      </c>
      <c r="F4" s="97">
        <f>E4/$E$32</f>
        <v>1.5488206829085288E-3</v>
      </c>
      <c r="G4" s="19" t="s">
        <v>143</v>
      </c>
    </row>
    <row r="5" spans="1:7">
      <c r="B5" t="s">
        <v>42</v>
      </c>
      <c r="C5" s="90">
        <f>'Spending data'!H10</f>
        <v>17.3</v>
      </c>
      <c r="D5" s="93">
        <f>E5/C5</f>
        <v>11409</v>
      </c>
      <c r="E5" s="92">
        <f>'Spending data'!H9</f>
        <v>197375.7</v>
      </c>
      <c r="F5" s="97">
        <f>E5/$E$32</f>
        <v>5.8080775609069832E-4</v>
      </c>
      <c r="G5" s="19" t="s">
        <v>144</v>
      </c>
    </row>
    <row r="6" spans="1:7">
      <c r="B6" t="s">
        <v>43</v>
      </c>
      <c r="C6" s="90">
        <f>'Spending data'!H17</f>
        <v>17.3</v>
      </c>
      <c r="D6" s="93">
        <f>E6/C6</f>
        <v>3803.0000000000005</v>
      </c>
      <c r="E6" s="92">
        <f>'Spending data'!H16</f>
        <v>65791.900000000009</v>
      </c>
      <c r="F6" s="97">
        <f>E6/$E$32</f>
        <v>1.936025853635661E-4</v>
      </c>
      <c r="G6" s="19" t="s">
        <v>145</v>
      </c>
    </row>
    <row r="7" spans="1:7">
      <c r="A7" s="98" t="s">
        <v>148</v>
      </c>
      <c r="B7" s="98"/>
      <c r="C7" s="102"/>
      <c r="D7" s="103"/>
      <c r="E7" s="100">
        <f>SUM(E8:E8)</f>
        <v>334400</v>
      </c>
      <c r="F7" s="101">
        <f>SUM(F8:F8)</f>
        <v>9.8402241834597416E-4</v>
      </c>
      <c r="G7" s="19"/>
    </row>
    <row r="8" spans="1:7">
      <c r="B8" t="s">
        <v>69</v>
      </c>
      <c r="C8" s="90">
        <f>'Spending data'!H24</f>
        <v>100</v>
      </c>
      <c r="D8" s="93">
        <f>E8/C8</f>
        <v>3344</v>
      </c>
      <c r="E8" s="92">
        <f>'Spending data'!H23</f>
        <v>334400</v>
      </c>
      <c r="F8" s="97">
        <f>E8/$E$32</f>
        <v>9.8402241834597416E-4</v>
      </c>
      <c r="G8" s="19" t="s">
        <v>77</v>
      </c>
    </row>
    <row r="9" spans="1:7">
      <c r="A9" s="98" t="s">
        <v>45</v>
      </c>
      <c r="B9" s="98"/>
      <c r="C9" s="102"/>
      <c r="D9" s="103"/>
      <c r="E9" s="100">
        <f>SUM(E10:E13)</f>
        <v>2782463.4826993197</v>
      </c>
      <c r="F9" s="101">
        <f>SUM(F10:F13)</f>
        <v>8.1878183170010343E-3</v>
      </c>
      <c r="G9" s="19"/>
    </row>
    <row r="10" spans="1:7">
      <c r="B10" t="s">
        <v>140</v>
      </c>
      <c r="C10" s="90">
        <v>327.27999999999997</v>
      </c>
      <c r="D10" s="93">
        <f>'#ignore - misc calcs'!$B$4</f>
        <v>3090</v>
      </c>
      <c r="E10" s="92">
        <f>C10*D10</f>
        <v>1011295.2</v>
      </c>
      <c r="F10" s="97">
        <f t="shared" ref="F10:F28" si="0">E10/$E$32</f>
        <v>2.9758886015719961E-3</v>
      </c>
      <c r="G10" s="19" t="s">
        <v>84</v>
      </c>
    </row>
    <row r="11" spans="1:7">
      <c r="B11" t="s">
        <v>73</v>
      </c>
      <c r="C11" s="90">
        <v>550</v>
      </c>
      <c r="D11" s="93">
        <f>'#ignore - misc calcs'!$B$4</f>
        <v>3090</v>
      </c>
      <c r="E11" s="92">
        <f>C11*D11</f>
        <v>1699500</v>
      </c>
      <c r="F11" s="97">
        <f t="shared" si="0"/>
        <v>5.0010349879754277E-3</v>
      </c>
      <c r="G11" s="19" t="s">
        <v>83</v>
      </c>
    </row>
    <row r="12" spans="1:7">
      <c r="B12" t="s">
        <v>70</v>
      </c>
      <c r="C12" s="90">
        <v>151.52227120181405</v>
      </c>
      <c r="D12" s="93">
        <f>'Spending data'!H41</f>
        <v>258</v>
      </c>
      <c r="E12" s="92">
        <f>C12*D12</f>
        <v>39092.745970068027</v>
      </c>
      <c r="F12" s="97">
        <f t="shared" si="0"/>
        <v>1.1503629913053581E-4</v>
      </c>
      <c r="G12" s="19" t="s">
        <v>78</v>
      </c>
    </row>
    <row r="13" spans="1:7">
      <c r="B13" t="s">
        <v>135</v>
      </c>
      <c r="C13" s="90">
        <v>42.141703401360544</v>
      </c>
      <c r="D13" s="93">
        <f>'Spending data'!H48</f>
        <v>773</v>
      </c>
      <c r="E13" s="92">
        <f>C13*D13</f>
        <v>32575.5367292517</v>
      </c>
      <c r="F13" s="97">
        <f t="shared" si="0"/>
        <v>9.5858428323075253E-5</v>
      </c>
      <c r="G13" s="19" t="s">
        <v>78</v>
      </c>
    </row>
    <row r="14" spans="1:7">
      <c r="A14" s="98" t="s">
        <v>149</v>
      </c>
      <c r="B14" s="98"/>
      <c r="C14" s="102"/>
      <c r="D14" s="103"/>
      <c r="E14" s="104">
        <f>SUM(E15:E19)</f>
        <v>335868432.98575366</v>
      </c>
      <c r="F14" s="105">
        <f t="shared" si="0"/>
        <v>0.98834350380596314</v>
      </c>
      <c r="G14" s="19"/>
    </row>
    <row r="15" spans="1:7">
      <c r="B15" t="s">
        <v>136</v>
      </c>
      <c r="C15" s="90">
        <v>902.5</v>
      </c>
      <c r="D15" s="93">
        <f>27998*60/70+12046*1/3</f>
        <v>28013.619047619046</v>
      </c>
      <c r="E15" s="92">
        <f>C15*D15</f>
        <v>25282291.19047619</v>
      </c>
      <c r="F15" s="97">
        <f t="shared" si="0"/>
        <v>7.4396953703886062E-2</v>
      </c>
      <c r="G15" s="19" t="s">
        <v>79</v>
      </c>
    </row>
    <row r="16" spans="1:7">
      <c r="B16" t="s">
        <v>137</v>
      </c>
      <c r="C16" s="90">
        <v>9382.44</v>
      </c>
      <c r="D16" s="93">
        <v>12046</v>
      </c>
      <c r="E16" s="92">
        <f>C16*D16</f>
        <v>113020872.24000001</v>
      </c>
      <c r="F16" s="97">
        <f t="shared" si="0"/>
        <v>0.33258095701308665</v>
      </c>
      <c r="G16" s="19" t="s">
        <v>80</v>
      </c>
    </row>
    <row r="17" spans="1:12">
      <c r="B17" t="s">
        <v>138</v>
      </c>
      <c r="C17" s="90">
        <v>1800</v>
      </c>
      <c r="D17" s="93">
        <f>27998*60/70</f>
        <v>23998.285714285714</v>
      </c>
      <c r="E17" s="92">
        <f>C17*D17</f>
        <v>43196914.285714284</v>
      </c>
      <c r="F17" s="97">
        <f t="shared" si="0"/>
        <v>0.12711343319531199</v>
      </c>
      <c r="G17" s="19" t="s">
        <v>79</v>
      </c>
    </row>
    <row r="18" spans="1:12">
      <c r="B18" t="s">
        <v>139</v>
      </c>
      <c r="C18" s="90">
        <v>8352</v>
      </c>
      <c r="D18" s="93">
        <v>12046</v>
      </c>
      <c r="E18" s="92">
        <f>C18*D18</f>
        <v>100608192</v>
      </c>
      <c r="F18" s="97">
        <f t="shared" si="0"/>
        <v>0.29605477391523949</v>
      </c>
      <c r="G18" s="19" t="s">
        <v>80</v>
      </c>
    </row>
    <row r="19" spans="1:12" ht="16">
      <c r="B19" t="s">
        <v>141</v>
      </c>
      <c r="C19" s="90"/>
      <c r="D19" s="94">
        <f>SUM(D20:D25)</f>
        <v>40043</v>
      </c>
      <c r="E19" s="92">
        <f>SUM(E20:E25)</f>
        <v>53760163.269563198</v>
      </c>
      <c r="F19" s="97">
        <f t="shared" si="0"/>
        <v>0.15819738597843896</v>
      </c>
      <c r="G19" s="12" t="s">
        <v>142</v>
      </c>
    </row>
    <row r="20" spans="1:12">
      <c r="B20" s="89" t="s">
        <v>127</v>
      </c>
      <c r="C20" s="91">
        <f>Monitoring!J37</f>
        <v>644.2613238095239</v>
      </c>
      <c r="D20" s="96">
        <f>8565*10/70</f>
        <v>1223.5714285714287</v>
      </c>
      <c r="E20" s="95">
        <f t="shared" ref="E20:E25" si="1">C20*D20</f>
        <v>788299.74834693898</v>
      </c>
      <c r="F20" s="97">
        <f t="shared" si="0"/>
        <v>2.3196908634864765E-3</v>
      </c>
    </row>
    <row r="21" spans="1:12">
      <c r="B21" s="89" t="s">
        <v>128</v>
      </c>
      <c r="C21" s="91">
        <f>Monitoring!J39</f>
        <v>744.2613238095239</v>
      </c>
      <c r="D21" s="96">
        <f>19433*10/70</f>
        <v>2776.1428571428573</v>
      </c>
      <c r="E21" s="95">
        <f t="shared" si="1"/>
        <v>2066175.757941497</v>
      </c>
      <c r="F21" s="97">
        <f t="shared" si="0"/>
        <v>6.0800336903630925E-3</v>
      </c>
      <c r="G21" s="12">
        <f>D16*2/3</f>
        <v>8030.666666666667</v>
      </c>
      <c r="H21" s="93">
        <f>27998*10/70</f>
        <v>3999.7142857142858</v>
      </c>
      <c r="I21" t="s">
        <v>153</v>
      </c>
      <c r="J21" s="119">
        <f>H21/$H$24</f>
        <v>9.988298585841289E-2</v>
      </c>
      <c r="L21">
        <f>72%*H24</f>
        <v>28831.68</v>
      </c>
    </row>
    <row r="22" spans="1:12">
      <c r="B22" s="89" t="s">
        <v>129</v>
      </c>
      <c r="C22" s="91">
        <f>Monitoring!K37</f>
        <v>673.94638458049894</v>
      </c>
      <c r="D22" s="96">
        <f>8565*60/70</f>
        <v>7341.4285714285716</v>
      </c>
      <c r="E22" s="95">
        <f t="shared" si="1"/>
        <v>4947729.2433702629</v>
      </c>
      <c r="F22" s="97">
        <f t="shared" si="0"/>
        <v>1.4559439280449471E-2</v>
      </c>
      <c r="H22" s="93">
        <f>27998*60/70</f>
        <v>23998.285714285714</v>
      </c>
      <c r="I22" t="s">
        <v>155</v>
      </c>
      <c r="J22" s="119">
        <f>H22/$H$24</f>
        <v>0.59929791515047737</v>
      </c>
    </row>
    <row r="23" spans="1:12">
      <c r="B23" s="89" t="s">
        <v>130</v>
      </c>
      <c r="C23" s="91">
        <f>Monitoring!K39</f>
        <v>1390.7116653061225</v>
      </c>
      <c r="D23" s="96">
        <f>19433*60/70</f>
        <v>16656.857142857141</v>
      </c>
      <c r="E23" s="95">
        <f t="shared" si="1"/>
        <v>23164885.535909038</v>
      </c>
      <c r="F23" s="97">
        <f t="shared" si="0"/>
        <v>6.8166168318639017E-2</v>
      </c>
      <c r="H23" s="94">
        <f>D16</f>
        <v>12046</v>
      </c>
      <c r="I23" t="s">
        <v>154</v>
      </c>
      <c r="J23" s="119">
        <f>H23/$H$24</f>
        <v>0.30081909899110976</v>
      </c>
    </row>
    <row r="24" spans="1:12">
      <c r="B24" s="89" t="s">
        <v>131</v>
      </c>
      <c r="C24" s="91">
        <f>Monitoring!O37</f>
        <v>1288.5226476190478</v>
      </c>
      <c r="D24" s="96">
        <v>2795</v>
      </c>
      <c r="E24" s="95">
        <f t="shared" si="1"/>
        <v>3601420.8000952387</v>
      </c>
      <c r="F24" s="97">
        <f t="shared" si="0"/>
        <v>1.059772369973448E-2</v>
      </c>
      <c r="H24" s="94">
        <f>SUM(H21:H23)</f>
        <v>40044</v>
      </c>
    </row>
    <row r="25" spans="1:12">
      <c r="B25" s="89" t="s">
        <v>132</v>
      </c>
      <c r="C25" s="91">
        <f>Monitoring!O39</f>
        <v>2074.7732090702948</v>
      </c>
      <c r="D25" s="96">
        <v>9250</v>
      </c>
      <c r="E25" s="95">
        <f t="shared" si="1"/>
        <v>19191652.183900226</v>
      </c>
      <c r="F25" s="97">
        <f t="shared" si="0"/>
        <v>5.6474330125766435E-2</v>
      </c>
    </row>
    <row r="26" spans="1:12">
      <c r="A26" s="98" t="s">
        <v>150</v>
      </c>
      <c r="B26" s="106"/>
      <c r="C26" s="107"/>
      <c r="D26" s="108"/>
      <c r="E26" s="109">
        <f>SUM(E27:E28)</f>
        <v>54856.81</v>
      </c>
      <c r="F26" s="105">
        <f t="shared" si="0"/>
        <v>1.6142443432699049E-4</v>
      </c>
    </row>
    <row r="27" spans="1:12">
      <c r="B27" t="s">
        <v>71</v>
      </c>
      <c r="C27" s="90">
        <v>16.190283900226756</v>
      </c>
      <c r="D27" s="93">
        <f>E27/C27</f>
        <v>2338.9589851151177</v>
      </c>
      <c r="E27" s="92">
        <f>'Spending data'!H51</f>
        <v>37868.410000000003</v>
      </c>
      <c r="F27" s="97">
        <f t="shared" si="0"/>
        <v>1.1143350594233515E-4</v>
      </c>
      <c r="G27" s="19" t="s">
        <v>82</v>
      </c>
    </row>
    <row r="28" spans="1:12">
      <c r="B28" t="s">
        <v>72</v>
      </c>
      <c r="C28" s="90">
        <v>14.517804988662132</v>
      </c>
      <c r="D28" s="93">
        <f>E28/C28</f>
        <v>1170.1768974901722</v>
      </c>
      <c r="E28" s="92">
        <f>'Spending data'!H58</f>
        <v>16988.399999999998</v>
      </c>
      <c r="F28" s="97">
        <f t="shared" si="0"/>
        <v>4.999092838465534E-5</v>
      </c>
      <c r="G28" s="19" t="s">
        <v>81</v>
      </c>
    </row>
    <row r="32" spans="1:12">
      <c r="B32" s="89" t="s">
        <v>146</v>
      </c>
      <c r="E32" s="94">
        <f>SUMIFS(E3:E28,A3:A28,"&lt;&gt;")</f>
        <v>339829656.078453</v>
      </c>
      <c r="F32" s="94"/>
    </row>
    <row r="33" spans="2:6">
      <c r="B33" t="s">
        <v>151</v>
      </c>
      <c r="E33" s="94">
        <v>1247757.8570000001</v>
      </c>
      <c r="F33" s="20">
        <f>E32/E33</f>
        <v>272.35224701009673</v>
      </c>
    </row>
    <row r="34" spans="2:6">
      <c r="B34" t="s">
        <v>152</v>
      </c>
      <c r="E34" s="94">
        <v>65394</v>
      </c>
      <c r="F34" s="20">
        <f>E32/E34</f>
        <v>5196.6488680682178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18" zoomScaleNormal="82" workbookViewId="0">
      <selection activeCell="O40" sqref="O40"/>
    </sheetView>
  </sheetViews>
  <sheetFormatPr baseColWidth="10" defaultColWidth="5.83203125" defaultRowHeight="12"/>
  <cols>
    <col min="1" max="1" width="4" style="21" customWidth="1"/>
    <col min="2" max="2" width="33.5" style="21" customWidth="1"/>
    <col min="3" max="3" width="5.83203125" style="21" customWidth="1"/>
    <col min="4" max="4" width="8.83203125" style="21" customWidth="1"/>
    <col min="5" max="5" width="7.83203125" style="21" customWidth="1"/>
    <col min="6" max="7" width="5.83203125" style="21" customWidth="1"/>
    <col min="8" max="8" width="7.1640625" style="21" customWidth="1"/>
    <col min="9" max="9" width="8.6640625" style="21" customWidth="1"/>
    <col min="10" max="10" width="7.33203125" style="21" customWidth="1"/>
    <col min="11" max="12" width="7.5" style="21" customWidth="1"/>
    <col min="13" max="14" width="5.83203125" style="21" customWidth="1"/>
    <col min="15" max="15" width="7.33203125" style="21" customWidth="1"/>
    <col min="16" max="16" width="1.33203125" style="21" customWidth="1"/>
    <col min="17" max="17" width="3.5" style="22" customWidth="1"/>
    <col min="18" max="18" width="6.1640625" style="22" customWidth="1"/>
    <col min="19" max="256" width="5.83203125" style="21"/>
    <col min="257" max="257" width="4" style="21" customWidth="1"/>
    <col min="258" max="258" width="33.5" style="21" customWidth="1"/>
    <col min="259" max="259" width="5.83203125" style="21"/>
    <col min="260" max="260" width="8.83203125" style="21" customWidth="1"/>
    <col min="261" max="261" width="7.83203125" style="21" customWidth="1"/>
    <col min="262" max="263" width="5.83203125" style="21"/>
    <col min="264" max="264" width="7.1640625" style="21" customWidth="1"/>
    <col min="265" max="265" width="8.6640625" style="21" customWidth="1"/>
    <col min="266" max="266" width="7.33203125" style="21" customWidth="1"/>
    <col min="267" max="268" width="7.5" style="21" customWidth="1"/>
    <col min="269" max="270" width="5.83203125" style="21"/>
    <col min="271" max="271" width="7.33203125" style="21" customWidth="1"/>
    <col min="272" max="272" width="1.33203125" style="21" customWidth="1"/>
    <col min="273" max="273" width="3.5" style="21" customWidth="1"/>
    <col min="274" max="274" width="6.1640625" style="21" customWidth="1"/>
    <col min="275" max="512" width="5.83203125" style="21"/>
    <col min="513" max="513" width="4" style="21" customWidth="1"/>
    <col min="514" max="514" width="33.5" style="21" customWidth="1"/>
    <col min="515" max="515" width="5.83203125" style="21"/>
    <col min="516" max="516" width="8.83203125" style="21" customWidth="1"/>
    <col min="517" max="517" width="7.83203125" style="21" customWidth="1"/>
    <col min="518" max="519" width="5.83203125" style="21"/>
    <col min="520" max="520" width="7.1640625" style="21" customWidth="1"/>
    <col min="521" max="521" width="8.6640625" style="21" customWidth="1"/>
    <col min="522" max="522" width="7.33203125" style="21" customWidth="1"/>
    <col min="523" max="524" width="7.5" style="21" customWidth="1"/>
    <col min="525" max="526" width="5.83203125" style="21"/>
    <col min="527" max="527" width="7.33203125" style="21" customWidth="1"/>
    <col min="528" max="528" width="1.33203125" style="21" customWidth="1"/>
    <col min="529" max="529" width="3.5" style="21" customWidth="1"/>
    <col min="530" max="530" width="6.1640625" style="21" customWidth="1"/>
    <col min="531" max="768" width="5.83203125" style="21"/>
    <col min="769" max="769" width="4" style="21" customWidth="1"/>
    <col min="770" max="770" width="33.5" style="21" customWidth="1"/>
    <col min="771" max="771" width="5.83203125" style="21"/>
    <col min="772" max="772" width="8.83203125" style="21" customWidth="1"/>
    <col min="773" max="773" width="7.83203125" style="21" customWidth="1"/>
    <col min="774" max="775" width="5.83203125" style="21"/>
    <col min="776" max="776" width="7.1640625" style="21" customWidth="1"/>
    <col min="777" max="777" width="8.6640625" style="21" customWidth="1"/>
    <col min="778" max="778" width="7.33203125" style="21" customWidth="1"/>
    <col min="779" max="780" width="7.5" style="21" customWidth="1"/>
    <col min="781" max="782" width="5.83203125" style="21"/>
    <col min="783" max="783" width="7.33203125" style="21" customWidth="1"/>
    <col min="784" max="784" width="1.33203125" style="21" customWidth="1"/>
    <col min="785" max="785" width="3.5" style="21" customWidth="1"/>
    <col min="786" max="786" width="6.1640625" style="21" customWidth="1"/>
    <col min="787" max="1024" width="5.83203125" style="21"/>
    <col min="1025" max="1025" width="4" style="21" customWidth="1"/>
    <col min="1026" max="1026" width="33.5" style="21" customWidth="1"/>
    <col min="1027" max="1027" width="5.83203125" style="21"/>
    <col min="1028" max="1028" width="8.83203125" style="21" customWidth="1"/>
    <col min="1029" max="1029" width="7.83203125" style="21" customWidth="1"/>
    <col min="1030" max="1031" width="5.83203125" style="21"/>
    <col min="1032" max="1032" width="7.1640625" style="21" customWidth="1"/>
    <col min="1033" max="1033" width="8.6640625" style="21" customWidth="1"/>
    <col min="1034" max="1034" width="7.33203125" style="21" customWidth="1"/>
    <col min="1035" max="1036" width="7.5" style="21" customWidth="1"/>
    <col min="1037" max="1038" width="5.83203125" style="21"/>
    <col min="1039" max="1039" width="7.33203125" style="21" customWidth="1"/>
    <col min="1040" max="1040" width="1.33203125" style="21" customWidth="1"/>
    <col min="1041" max="1041" width="3.5" style="21" customWidth="1"/>
    <col min="1042" max="1042" width="6.1640625" style="21" customWidth="1"/>
    <col min="1043" max="1280" width="5.83203125" style="21"/>
    <col min="1281" max="1281" width="4" style="21" customWidth="1"/>
    <col min="1282" max="1282" width="33.5" style="21" customWidth="1"/>
    <col min="1283" max="1283" width="5.83203125" style="21"/>
    <col min="1284" max="1284" width="8.83203125" style="21" customWidth="1"/>
    <col min="1285" max="1285" width="7.83203125" style="21" customWidth="1"/>
    <col min="1286" max="1287" width="5.83203125" style="21"/>
    <col min="1288" max="1288" width="7.1640625" style="21" customWidth="1"/>
    <col min="1289" max="1289" width="8.6640625" style="21" customWidth="1"/>
    <col min="1290" max="1290" width="7.33203125" style="21" customWidth="1"/>
    <col min="1291" max="1292" width="7.5" style="21" customWidth="1"/>
    <col min="1293" max="1294" width="5.83203125" style="21"/>
    <col min="1295" max="1295" width="7.33203125" style="21" customWidth="1"/>
    <col min="1296" max="1296" width="1.33203125" style="21" customWidth="1"/>
    <col min="1297" max="1297" width="3.5" style="21" customWidth="1"/>
    <col min="1298" max="1298" width="6.1640625" style="21" customWidth="1"/>
    <col min="1299" max="1536" width="5.83203125" style="21"/>
    <col min="1537" max="1537" width="4" style="21" customWidth="1"/>
    <col min="1538" max="1538" width="33.5" style="21" customWidth="1"/>
    <col min="1539" max="1539" width="5.83203125" style="21"/>
    <col min="1540" max="1540" width="8.83203125" style="21" customWidth="1"/>
    <col min="1541" max="1541" width="7.83203125" style="21" customWidth="1"/>
    <col min="1542" max="1543" width="5.83203125" style="21"/>
    <col min="1544" max="1544" width="7.1640625" style="21" customWidth="1"/>
    <col min="1545" max="1545" width="8.6640625" style="21" customWidth="1"/>
    <col min="1546" max="1546" width="7.33203125" style="21" customWidth="1"/>
    <col min="1547" max="1548" width="7.5" style="21" customWidth="1"/>
    <col min="1549" max="1550" width="5.83203125" style="21"/>
    <col min="1551" max="1551" width="7.33203125" style="21" customWidth="1"/>
    <col min="1552" max="1552" width="1.33203125" style="21" customWidth="1"/>
    <col min="1553" max="1553" width="3.5" style="21" customWidth="1"/>
    <col min="1554" max="1554" width="6.1640625" style="21" customWidth="1"/>
    <col min="1555" max="1792" width="5.83203125" style="21"/>
    <col min="1793" max="1793" width="4" style="21" customWidth="1"/>
    <col min="1794" max="1794" width="33.5" style="21" customWidth="1"/>
    <col min="1795" max="1795" width="5.83203125" style="21"/>
    <col min="1796" max="1796" width="8.83203125" style="21" customWidth="1"/>
    <col min="1797" max="1797" width="7.83203125" style="21" customWidth="1"/>
    <col min="1798" max="1799" width="5.83203125" style="21"/>
    <col min="1800" max="1800" width="7.1640625" style="21" customWidth="1"/>
    <col min="1801" max="1801" width="8.6640625" style="21" customWidth="1"/>
    <col min="1802" max="1802" width="7.33203125" style="21" customWidth="1"/>
    <col min="1803" max="1804" width="7.5" style="21" customWidth="1"/>
    <col min="1805" max="1806" width="5.83203125" style="21"/>
    <col min="1807" max="1807" width="7.33203125" style="21" customWidth="1"/>
    <col min="1808" max="1808" width="1.33203125" style="21" customWidth="1"/>
    <col min="1809" max="1809" width="3.5" style="21" customWidth="1"/>
    <col min="1810" max="1810" width="6.1640625" style="21" customWidth="1"/>
    <col min="1811" max="2048" width="5.83203125" style="21"/>
    <col min="2049" max="2049" width="4" style="21" customWidth="1"/>
    <col min="2050" max="2050" width="33.5" style="21" customWidth="1"/>
    <col min="2051" max="2051" width="5.83203125" style="21"/>
    <col min="2052" max="2052" width="8.83203125" style="21" customWidth="1"/>
    <col min="2053" max="2053" width="7.83203125" style="21" customWidth="1"/>
    <col min="2054" max="2055" width="5.83203125" style="21"/>
    <col min="2056" max="2056" width="7.1640625" style="21" customWidth="1"/>
    <col min="2057" max="2057" width="8.6640625" style="21" customWidth="1"/>
    <col min="2058" max="2058" width="7.33203125" style="21" customWidth="1"/>
    <col min="2059" max="2060" width="7.5" style="21" customWidth="1"/>
    <col min="2061" max="2062" width="5.83203125" style="21"/>
    <col min="2063" max="2063" width="7.33203125" style="21" customWidth="1"/>
    <col min="2064" max="2064" width="1.33203125" style="21" customWidth="1"/>
    <col min="2065" max="2065" width="3.5" style="21" customWidth="1"/>
    <col min="2066" max="2066" width="6.1640625" style="21" customWidth="1"/>
    <col min="2067" max="2304" width="5.83203125" style="21"/>
    <col min="2305" max="2305" width="4" style="21" customWidth="1"/>
    <col min="2306" max="2306" width="33.5" style="21" customWidth="1"/>
    <col min="2307" max="2307" width="5.83203125" style="21"/>
    <col min="2308" max="2308" width="8.83203125" style="21" customWidth="1"/>
    <col min="2309" max="2309" width="7.83203125" style="21" customWidth="1"/>
    <col min="2310" max="2311" width="5.83203125" style="21"/>
    <col min="2312" max="2312" width="7.1640625" style="21" customWidth="1"/>
    <col min="2313" max="2313" width="8.6640625" style="21" customWidth="1"/>
    <col min="2314" max="2314" width="7.33203125" style="21" customWidth="1"/>
    <col min="2315" max="2316" width="7.5" style="21" customWidth="1"/>
    <col min="2317" max="2318" width="5.83203125" style="21"/>
    <col min="2319" max="2319" width="7.33203125" style="21" customWidth="1"/>
    <col min="2320" max="2320" width="1.33203125" style="21" customWidth="1"/>
    <col min="2321" max="2321" width="3.5" style="21" customWidth="1"/>
    <col min="2322" max="2322" width="6.1640625" style="21" customWidth="1"/>
    <col min="2323" max="2560" width="5.83203125" style="21"/>
    <col min="2561" max="2561" width="4" style="21" customWidth="1"/>
    <col min="2562" max="2562" width="33.5" style="21" customWidth="1"/>
    <col min="2563" max="2563" width="5.83203125" style="21"/>
    <col min="2564" max="2564" width="8.83203125" style="21" customWidth="1"/>
    <col min="2565" max="2565" width="7.83203125" style="21" customWidth="1"/>
    <col min="2566" max="2567" width="5.83203125" style="21"/>
    <col min="2568" max="2568" width="7.1640625" style="21" customWidth="1"/>
    <col min="2569" max="2569" width="8.6640625" style="21" customWidth="1"/>
    <col min="2570" max="2570" width="7.33203125" style="21" customWidth="1"/>
    <col min="2571" max="2572" width="7.5" style="21" customWidth="1"/>
    <col min="2573" max="2574" width="5.83203125" style="21"/>
    <col min="2575" max="2575" width="7.33203125" style="21" customWidth="1"/>
    <col min="2576" max="2576" width="1.33203125" style="21" customWidth="1"/>
    <col min="2577" max="2577" width="3.5" style="21" customWidth="1"/>
    <col min="2578" max="2578" width="6.1640625" style="21" customWidth="1"/>
    <col min="2579" max="2816" width="5.83203125" style="21"/>
    <col min="2817" max="2817" width="4" style="21" customWidth="1"/>
    <col min="2818" max="2818" width="33.5" style="21" customWidth="1"/>
    <col min="2819" max="2819" width="5.83203125" style="21"/>
    <col min="2820" max="2820" width="8.83203125" style="21" customWidth="1"/>
    <col min="2821" max="2821" width="7.83203125" style="21" customWidth="1"/>
    <col min="2822" max="2823" width="5.83203125" style="21"/>
    <col min="2824" max="2824" width="7.1640625" style="21" customWidth="1"/>
    <col min="2825" max="2825" width="8.6640625" style="21" customWidth="1"/>
    <col min="2826" max="2826" width="7.33203125" style="21" customWidth="1"/>
    <col min="2827" max="2828" width="7.5" style="21" customWidth="1"/>
    <col min="2829" max="2830" width="5.83203125" style="21"/>
    <col min="2831" max="2831" width="7.33203125" style="21" customWidth="1"/>
    <col min="2832" max="2832" width="1.33203125" style="21" customWidth="1"/>
    <col min="2833" max="2833" width="3.5" style="21" customWidth="1"/>
    <col min="2834" max="2834" width="6.1640625" style="21" customWidth="1"/>
    <col min="2835" max="3072" width="5.83203125" style="21"/>
    <col min="3073" max="3073" width="4" style="21" customWidth="1"/>
    <col min="3074" max="3074" width="33.5" style="21" customWidth="1"/>
    <col min="3075" max="3075" width="5.83203125" style="21"/>
    <col min="3076" max="3076" width="8.83203125" style="21" customWidth="1"/>
    <col min="3077" max="3077" width="7.83203125" style="21" customWidth="1"/>
    <col min="3078" max="3079" width="5.83203125" style="21"/>
    <col min="3080" max="3080" width="7.1640625" style="21" customWidth="1"/>
    <col min="3081" max="3081" width="8.6640625" style="21" customWidth="1"/>
    <col min="3082" max="3082" width="7.33203125" style="21" customWidth="1"/>
    <col min="3083" max="3084" width="7.5" style="21" customWidth="1"/>
    <col min="3085" max="3086" width="5.83203125" style="21"/>
    <col min="3087" max="3087" width="7.33203125" style="21" customWidth="1"/>
    <col min="3088" max="3088" width="1.33203125" style="21" customWidth="1"/>
    <col min="3089" max="3089" width="3.5" style="21" customWidth="1"/>
    <col min="3090" max="3090" width="6.1640625" style="21" customWidth="1"/>
    <col min="3091" max="3328" width="5.83203125" style="21"/>
    <col min="3329" max="3329" width="4" style="21" customWidth="1"/>
    <col min="3330" max="3330" width="33.5" style="21" customWidth="1"/>
    <col min="3331" max="3331" width="5.83203125" style="21"/>
    <col min="3332" max="3332" width="8.83203125" style="21" customWidth="1"/>
    <col min="3333" max="3333" width="7.83203125" style="21" customWidth="1"/>
    <col min="3334" max="3335" width="5.83203125" style="21"/>
    <col min="3336" max="3336" width="7.1640625" style="21" customWidth="1"/>
    <col min="3337" max="3337" width="8.6640625" style="21" customWidth="1"/>
    <col min="3338" max="3338" width="7.33203125" style="21" customWidth="1"/>
    <col min="3339" max="3340" width="7.5" style="21" customWidth="1"/>
    <col min="3341" max="3342" width="5.83203125" style="21"/>
    <col min="3343" max="3343" width="7.33203125" style="21" customWidth="1"/>
    <col min="3344" max="3344" width="1.33203125" style="21" customWidth="1"/>
    <col min="3345" max="3345" width="3.5" style="21" customWidth="1"/>
    <col min="3346" max="3346" width="6.1640625" style="21" customWidth="1"/>
    <col min="3347" max="3584" width="5.83203125" style="21"/>
    <col min="3585" max="3585" width="4" style="21" customWidth="1"/>
    <col min="3586" max="3586" width="33.5" style="21" customWidth="1"/>
    <col min="3587" max="3587" width="5.83203125" style="21"/>
    <col min="3588" max="3588" width="8.83203125" style="21" customWidth="1"/>
    <col min="3589" max="3589" width="7.83203125" style="21" customWidth="1"/>
    <col min="3590" max="3591" width="5.83203125" style="21"/>
    <col min="3592" max="3592" width="7.1640625" style="21" customWidth="1"/>
    <col min="3593" max="3593" width="8.6640625" style="21" customWidth="1"/>
    <col min="3594" max="3594" width="7.33203125" style="21" customWidth="1"/>
    <col min="3595" max="3596" width="7.5" style="21" customWidth="1"/>
    <col min="3597" max="3598" width="5.83203125" style="21"/>
    <col min="3599" max="3599" width="7.33203125" style="21" customWidth="1"/>
    <col min="3600" max="3600" width="1.33203125" style="21" customWidth="1"/>
    <col min="3601" max="3601" width="3.5" style="21" customWidth="1"/>
    <col min="3602" max="3602" width="6.1640625" style="21" customWidth="1"/>
    <col min="3603" max="3840" width="5.83203125" style="21"/>
    <col min="3841" max="3841" width="4" style="21" customWidth="1"/>
    <col min="3842" max="3842" width="33.5" style="21" customWidth="1"/>
    <col min="3843" max="3843" width="5.83203125" style="21"/>
    <col min="3844" max="3844" width="8.83203125" style="21" customWidth="1"/>
    <col min="3845" max="3845" width="7.83203125" style="21" customWidth="1"/>
    <col min="3846" max="3847" width="5.83203125" style="21"/>
    <col min="3848" max="3848" width="7.1640625" style="21" customWidth="1"/>
    <col min="3849" max="3849" width="8.6640625" style="21" customWidth="1"/>
    <col min="3850" max="3850" width="7.33203125" style="21" customWidth="1"/>
    <col min="3851" max="3852" width="7.5" style="21" customWidth="1"/>
    <col min="3853" max="3854" width="5.83203125" style="21"/>
    <col min="3855" max="3855" width="7.33203125" style="21" customWidth="1"/>
    <col min="3856" max="3856" width="1.33203125" style="21" customWidth="1"/>
    <col min="3857" max="3857" width="3.5" style="21" customWidth="1"/>
    <col min="3858" max="3858" width="6.1640625" style="21" customWidth="1"/>
    <col min="3859" max="4096" width="5.83203125" style="21"/>
    <col min="4097" max="4097" width="4" style="21" customWidth="1"/>
    <col min="4098" max="4098" width="33.5" style="21" customWidth="1"/>
    <col min="4099" max="4099" width="5.83203125" style="21"/>
    <col min="4100" max="4100" width="8.83203125" style="21" customWidth="1"/>
    <col min="4101" max="4101" width="7.83203125" style="21" customWidth="1"/>
    <col min="4102" max="4103" width="5.83203125" style="21"/>
    <col min="4104" max="4104" width="7.1640625" style="21" customWidth="1"/>
    <col min="4105" max="4105" width="8.6640625" style="21" customWidth="1"/>
    <col min="4106" max="4106" width="7.33203125" style="21" customWidth="1"/>
    <col min="4107" max="4108" width="7.5" style="21" customWidth="1"/>
    <col min="4109" max="4110" width="5.83203125" style="21"/>
    <col min="4111" max="4111" width="7.33203125" style="21" customWidth="1"/>
    <col min="4112" max="4112" width="1.33203125" style="21" customWidth="1"/>
    <col min="4113" max="4113" width="3.5" style="21" customWidth="1"/>
    <col min="4114" max="4114" width="6.1640625" style="21" customWidth="1"/>
    <col min="4115" max="4352" width="5.83203125" style="21"/>
    <col min="4353" max="4353" width="4" style="21" customWidth="1"/>
    <col min="4354" max="4354" width="33.5" style="21" customWidth="1"/>
    <col min="4355" max="4355" width="5.83203125" style="21"/>
    <col min="4356" max="4356" width="8.83203125" style="21" customWidth="1"/>
    <col min="4357" max="4357" width="7.83203125" style="21" customWidth="1"/>
    <col min="4358" max="4359" width="5.83203125" style="21"/>
    <col min="4360" max="4360" width="7.1640625" style="21" customWidth="1"/>
    <col min="4361" max="4361" width="8.6640625" style="21" customWidth="1"/>
    <col min="4362" max="4362" width="7.33203125" style="21" customWidth="1"/>
    <col min="4363" max="4364" width="7.5" style="21" customWidth="1"/>
    <col min="4365" max="4366" width="5.83203125" style="21"/>
    <col min="4367" max="4367" width="7.33203125" style="21" customWidth="1"/>
    <col min="4368" max="4368" width="1.33203125" style="21" customWidth="1"/>
    <col min="4369" max="4369" width="3.5" style="21" customWidth="1"/>
    <col min="4370" max="4370" width="6.1640625" style="21" customWidth="1"/>
    <col min="4371" max="4608" width="5.83203125" style="21"/>
    <col min="4609" max="4609" width="4" style="21" customWidth="1"/>
    <col min="4610" max="4610" width="33.5" style="21" customWidth="1"/>
    <col min="4611" max="4611" width="5.83203125" style="21"/>
    <col min="4612" max="4612" width="8.83203125" style="21" customWidth="1"/>
    <col min="4613" max="4613" width="7.83203125" style="21" customWidth="1"/>
    <col min="4614" max="4615" width="5.83203125" style="21"/>
    <col min="4616" max="4616" width="7.1640625" style="21" customWidth="1"/>
    <col min="4617" max="4617" width="8.6640625" style="21" customWidth="1"/>
    <col min="4618" max="4618" width="7.33203125" style="21" customWidth="1"/>
    <col min="4619" max="4620" width="7.5" style="21" customWidth="1"/>
    <col min="4621" max="4622" width="5.83203125" style="21"/>
    <col min="4623" max="4623" width="7.33203125" style="21" customWidth="1"/>
    <col min="4624" max="4624" width="1.33203125" style="21" customWidth="1"/>
    <col min="4625" max="4625" width="3.5" style="21" customWidth="1"/>
    <col min="4626" max="4626" width="6.1640625" style="21" customWidth="1"/>
    <col min="4627" max="4864" width="5.83203125" style="21"/>
    <col min="4865" max="4865" width="4" style="21" customWidth="1"/>
    <col min="4866" max="4866" width="33.5" style="21" customWidth="1"/>
    <col min="4867" max="4867" width="5.83203125" style="21"/>
    <col min="4868" max="4868" width="8.83203125" style="21" customWidth="1"/>
    <col min="4869" max="4869" width="7.83203125" style="21" customWidth="1"/>
    <col min="4870" max="4871" width="5.83203125" style="21"/>
    <col min="4872" max="4872" width="7.1640625" style="21" customWidth="1"/>
    <col min="4873" max="4873" width="8.6640625" style="21" customWidth="1"/>
    <col min="4874" max="4874" width="7.33203125" style="21" customWidth="1"/>
    <col min="4875" max="4876" width="7.5" style="21" customWidth="1"/>
    <col min="4877" max="4878" width="5.83203125" style="21"/>
    <col min="4879" max="4879" width="7.33203125" style="21" customWidth="1"/>
    <col min="4880" max="4880" width="1.33203125" style="21" customWidth="1"/>
    <col min="4881" max="4881" width="3.5" style="21" customWidth="1"/>
    <col min="4882" max="4882" width="6.1640625" style="21" customWidth="1"/>
    <col min="4883" max="5120" width="5.83203125" style="21"/>
    <col min="5121" max="5121" width="4" style="21" customWidth="1"/>
    <col min="5122" max="5122" width="33.5" style="21" customWidth="1"/>
    <col min="5123" max="5123" width="5.83203125" style="21"/>
    <col min="5124" max="5124" width="8.83203125" style="21" customWidth="1"/>
    <col min="5125" max="5125" width="7.83203125" style="21" customWidth="1"/>
    <col min="5126" max="5127" width="5.83203125" style="21"/>
    <col min="5128" max="5128" width="7.1640625" style="21" customWidth="1"/>
    <col min="5129" max="5129" width="8.6640625" style="21" customWidth="1"/>
    <col min="5130" max="5130" width="7.33203125" style="21" customWidth="1"/>
    <col min="5131" max="5132" width="7.5" style="21" customWidth="1"/>
    <col min="5133" max="5134" width="5.83203125" style="21"/>
    <col min="5135" max="5135" width="7.33203125" style="21" customWidth="1"/>
    <col min="5136" max="5136" width="1.33203125" style="21" customWidth="1"/>
    <col min="5137" max="5137" width="3.5" style="21" customWidth="1"/>
    <col min="5138" max="5138" width="6.1640625" style="21" customWidth="1"/>
    <col min="5139" max="5376" width="5.83203125" style="21"/>
    <col min="5377" max="5377" width="4" style="21" customWidth="1"/>
    <col min="5378" max="5378" width="33.5" style="21" customWidth="1"/>
    <col min="5379" max="5379" width="5.83203125" style="21"/>
    <col min="5380" max="5380" width="8.83203125" style="21" customWidth="1"/>
    <col min="5381" max="5381" width="7.83203125" style="21" customWidth="1"/>
    <col min="5382" max="5383" width="5.83203125" style="21"/>
    <col min="5384" max="5384" width="7.1640625" style="21" customWidth="1"/>
    <col min="5385" max="5385" width="8.6640625" style="21" customWidth="1"/>
    <col min="5386" max="5386" width="7.33203125" style="21" customWidth="1"/>
    <col min="5387" max="5388" width="7.5" style="21" customWidth="1"/>
    <col min="5389" max="5390" width="5.83203125" style="21"/>
    <col min="5391" max="5391" width="7.33203125" style="21" customWidth="1"/>
    <col min="5392" max="5392" width="1.33203125" style="21" customWidth="1"/>
    <col min="5393" max="5393" width="3.5" style="21" customWidth="1"/>
    <col min="5394" max="5394" width="6.1640625" style="21" customWidth="1"/>
    <col min="5395" max="5632" width="5.83203125" style="21"/>
    <col min="5633" max="5633" width="4" style="21" customWidth="1"/>
    <col min="5634" max="5634" width="33.5" style="21" customWidth="1"/>
    <col min="5635" max="5635" width="5.83203125" style="21"/>
    <col min="5636" max="5636" width="8.83203125" style="21" customWidth="1"/>
    <col min="5637" max="5637" width="7.83203125" style="21" customWidth="1"/>
    <col min="5638" max="5639" width="5.83203125" style="21"/>
    <col min="5640" max="5640" width="7.1640625" style="21" customWidth="1"/>
    <col min="5641" max="5641" width="8.6640625" style="21" customWidth="1"/>
    <col min="5642" max="5642" width="7.33203125" style="21" customWidth="1"/>
    <col min="5643" max="5644" width="7.5" style="21" customWidth="1"/>
    <col min="5645" max="5646" width="5.83203125" style="21"/>
    <col min="5647" max="5647" width="7.33203125" style="21" customWidth="1"/>
    <col min="5648" max="5648" width="1.33203125" style="21" customWidth="1"/>
    <col min="5649" max="5649" width="3.5" style="21" customWidth="1"/>
    <col min="5650" max="5650" width="6.1640625" style="21" customWidth="1"/>
    <col min="5651" max="5888" width="5.83203125" style="21"/>
    <col min="5889" max="5889" width="4" style="21" customWidth="1"/>
    <col min="5890" max="5890" width="33.5" style="21" customWidth="1"/>
    <col min="5891" max="5891" width="5.83203125" style="21"/>
    <col min="5892" max="5892" width="8.83203125" style="21" customWidth="1"/>
    <col min="5893" max="5893" width="7.83203125" style="21" customWidth="1"/>
    <col min="5894" max="5895" width="5.83203125" style="21"/>
    <col min="5896" max="5896" width="7.1640625" style="21" customWidth="1"/>
    <col min="5897" max="5897" width="8.6640625" style="21" customWidth="1"/>
    <col min="5898" max="5898" width="7.33203125" style="21" customWidth="1"/>
    <col min="5899" max="5900" width="7.5" style="21" customWidth="1"/>
    <col min="5901" max="5902" width="5.83203125" style="21"/>
    <col min="5903" max="5903" width="7.33203125" style="21" customWidth="1"/>
    <col min="5904" max="5904" width="1.33203125" style="21" customWidth="1"/>
    <col min="5905" max="5905" width="3.5" style="21" customWidth="1"/>
    <col min="5906" max="5906" width="6.1640625" style="21" customWidth="1"/>
    <col min="5907" max="6144" width="5.83203125" style="21"/>
    <col min="6145" max="6145" width="4" style="21" customWidth="1"/>
    <col min="6146" max="6146" width="33.5" style="21" customWidth="1"/>
    <col min="6147" max="6147" width="5.83203125" style="21"/>
    <col min="6148" max="6148" width="8.83203125" style="21" customWidth="1"/>
    <col min="6149" max="6149" width="7.83203125" style="21" customWidth="1"/>
    <col min="6150" max="6151" width="5.83203125" style="21"/>
    <col min="6152" max="6152" width="7.1640625" style="21" customWidth="1"/>
    <col min="6153" max="6153" width="8.6640625" style="21" customWidth="1"/>
    <col min="6154" max="6154" width="7.33203125" style="21" customWidth="1"/>
    <col min="6155" max="6156" width="7.5" style="21" customWidth="1"/>
    <col min="6157" max="6158" width="5.83203125" style="21"/>
    <col min="6159" max="6159" width="7.33203125" style="21" customWidth="1"/>
    <col min="6160" max="6160" width="1.33203125" style="21" customWidth="1"/>
    <col min="6161" max="6161" width="3.5" style="21" customWidth="1"/>
    <col min="6162" max="6162" width="6.1640625" style="21" customWidth="1"/>
    <col min="6163" max="6400" width="5.83203125" style="21"/>
    <col min="6401" max="6401" width="4" style="21" customWidth="1"/>
    <col min="6402" max="6402" width="33.5" style="21" customWidth="1"/>
    <col min="6403" max="6403" width="5.83203125" style="21"/>
    <col min="6404" max="6404" width="8.83203125" style="21" customWidth="1"/>
    <col min="6405" max="6405" width="7.83203125" style="21" customWidth="1"/>
    <col min="6406" max="6407" width="5.83203125" style="21"/>
    <col min="6408" max="6408" width="7.1640625" style="21" customWidth="1"/>
    <col min="6409" max="6409" width="8.6640625" style="21" customWidth="1"/>
    <col min="6410" max="6410" width="7.33203125" style="21" customWidth="1"/>
    <col min="6411" max="6412" width="7.5" style="21" customWidth="1"/>
    <col min="6413" max="6414" width="5.83203125" style="21"/>
    <col min="6415" max="6415" width="7.33203125" style="21" customWidth="1"/>
    <col min="6416" max="6416" width="1.33203125" style="21" customWidth="1"/>
    <col min="6417" max="6417" width="3.5" style="21" customWidth="1"/>
    <col min="6418" max="6418" width="6.1640625" style="21" customWidth="1"/>
    <col min="6419" max="6656" width="5.83203125" style="21"/>
    <col min="6657" max="6657" width="4" style="21" customWidth="1"/>
    <col min="6658" max="6658" width="33.5" style="21" customWidth="1"/>
    <col min="6659" max="6659" width="5.83203125" style="21"/>
    <col min="6660" max="6660" width="8.83203125" style="21" customWidth="1"/>
    <col min="6661" max="6661" width="7.83203125" style="21" customWidth="1"/>
    <col min="6662" max="6663" width="5.83203125" style="21"/>
    <col min="6664" max="6664" width="7.1640625" style="21" customWidth="1"/>
    <col min="6665" max="6665" width="8.6640625" style="21" customWidth="1"/>
    <col min="6666" max="6666" width="7.33203125" style="21" customWidth="1"/>
    <col min="6667" max="6668" width="7.5" style="21" customWidth="1"/>
    <col min="6669" max="6670" width="5.83203125" style="21"/>
    <col min="6671" max="6671" width="7.33203125" style="21" customWidth="1"/>
    <col min="6672" max="6672" width="1.33203125" style="21" customWidth="1"/>
    <col min="6673" max="6673" width="3.5" style="21" customWidth="1"/>
    <col min="6674" max="6674" width="6.1640625" style="21" customWidth="1"/>
    <col min="6675" max="6912" width="5.83203125" style="21"/>
    <col min="6913" max="6913" width="4" style="21" customWidth="1"/>
    <col min="6914" max="6914" width="33.5" style="21" customWidth="1"/>
    <col min="6915" max="6915" width="5.83203125" style="21"/>
    <col min="6916" max="6916" width="8.83203125" style="21" customWidth="1"/>
    <col min="6917" max="6917" width="7.83203125" style="21" customWidth="1"/>
    <col min="6918" max="6919" width="5.83203125" style="21"/>
    <col min="6920" max="6920" width="7.1640625" style="21" customWidth="1"/>
    <col min="6921" max="6921" width="8.6640625" style="21" customWidth="1"/>
    <col min="6922" max="6922" width="7.33203125" style="21" customWidth="1"/>
    <col min="6923" max="6924" width="7.5" style="21" customWidth="1"/>
    <col min="6925" max="6926" width="5.83203125" style="21"/>
    <col min="6927" max="6927" width="7.33203125" style="21" customWidth="1"/>
    <col min="6928" max="6928" width="1.33203125" style="21" customWidth="1"/>
    <col min="6929" max="6929" width="3.5" style="21" customWidth="1"/>
    <col min="6930" max="6930" width="6.1640625" style="21" customWidth="1"/>
    <col min="6931" max="7168" width="5.83203125" style="21"/>
    <col min="7169" max="7169" width="4" style="21" customWidth="1"/>
    <col min="7170" max="7170" width="33.5" style="21" customWidth="1"/>
    <col min="7171" max="7171" width="5.83203125" style="21"/>
    <col min="7172" max="7172" width="8.83203125" style="21" customWidth="1"/>
    <col min="7173" max="7173" width="7.83203125" style="21" customWidth="1"/>
    <col min="7174" max="7175" width="5.83203125" style="21"/>
    <col min="7176" max="7176" width="7.1640625" style="21" customWidth="1"/>
    <col min="7177" max="7177" width="8.6640625" style="21" customWidth="1"/>
    <col min="7178" max="7178" width="7.33203125" style="21" customWidth="1"/>
    <col min="7179" max="7180" width="7.5" style="21" customWidth="1"/>
    <col min="7181" max="7182" width="5.83203125" style="21"/>
    <col min="7183" max="7183" width="7.33203125" style="21" customWidth="1"/>
    <col min="7184" max="7184" width="1.33203125" style="21" customWidth="1"/>
    <col min="7185" max="7185" width="3.5" style="21" customWidth="1"/>
    <col min="7186" max="7186" width="6.1640625" style="21" customWidth="1"/>
    <col min="7187" max="7424" width="5.83203125" style="21"/>
    <col min="7425" max="7425" width="4" style="21" customWidth="1"/>
    <col min="7426" max="7426" width="33.5" style="21" customWidth="1"/>
    <col min="7427" max="7427" width="5.83203125" style="21"/>
    <col min="7428" max="7428" width="8.83203125" style="21" customWidth="1"/>
    <col min="7429" max="7429" width="7.83203125" style="21" customWidth="1"/>
    <col min="7430" max="7431" width="5.83203125" style="21"/>
    <col min="7432" max="7432" width="7.1640625" style="21" customWidth="1"/>
    <col min="7433" max="7433" width="8.6640625" style="21" customWidth="1"/>
    <col min="7434" max="7434" width="7.33203125" style="21" customWidth="1"/>
    <col min="7435" max="7436" width="7.5" style="21" customWidth="1"/>
    <col min="7437" max="7438" width="5.83203125" style="21"/>
    <col min="7439" max="7439" width="7.33203125" style="21" customWidth="1"/>
    <col min="7440" max="7440" width="1.33203125" style="21" customWidth="1"/>
    <col min="7441" max="7441" width="3.5" style="21" customWidth="1"/>
    <col min="7442" max="7442" width="6.1640625" style="21" customWidth="1"/>
    <col min="7443" max="7680" width="5.83203125" style="21"/>
    <col min="7681" max="7681" width="4" style="21" customWidth="1"/>
    <col min="7682" max="7682" width="33.5" style="21" customWidth="1"/>
    <col min="7683" max="7683" width="5.83203125" style="21"/>
    <col min="7684" max="7684" width="8.83203125" style="21" customWidth="1"/>
    <col min="7685" max="7685" width="7.83203125" style="21" customWidth="1"/>
    <col min="7686" max="7687" width="5.83203125" style="21"/>
    <col min="7688" max="7688" width="7.1640625" style="21" customWidth="1"/>
    <col min="7689" max="7689" width="8.6640625" style="21" customWidth="1"/>
    <col min="7690" max="7690" width="7.33203125" style="21" customWidth="1"/>
    <col min="7691" max="7692" width="7.5" style="21" customWidth="1"/>
    <col min="7693" max="7694" width="5.83203125" style="21"/>
    <col min="7695" max="7695" width="7.33203125" style="21" customWidth="1"/>
    <col min="7696" max="7696" width="1.33203125" style="21" customWidth="1"/>
    <col min="7697" max="7697" width="3.5" style="21" customWidth="1"/>
    <col min="7698" max="7698" width="6.1640625" style="21" customWidth="1"/>
    <col min="7699" max="7936" width="5.83203125" style="21"/>
    <col min="7937" max="7937" width="4" style="21" customWidth="1"/>
    <col min="7938" max="7938" width="33.5" style="21" customWidth="1"/>
    <col min="7939" max="7939" width="5.83203125" style="21"/>
    <col min="7940" max="7940" width="8.83203125" style="21" customWidth="1"/>
    <col min="7941" max="7941" width="7.83203125" style="21" customWidth="1"/>
    <col min="7942" max="7943" width="5.83203125" style="21"/>
    <col min="7944" max="7944" width="7.1640625" style="21" customWidth="1"/>
    <col min="7945" max="7945" width="8.6640625" style="21" customWidth="1"/>
    <col min="7946" max="7946" width="7.33203125" style="21" customWidth="1"/>
    <col min="7947" max="7948" width="7.5" style="21" customWidth="1"/>
    <col min="7949" max="7950" width="5.83203125" style="21"/>
    <col min="7951" max="7951" width="7.33203125" style="21" customWidth="1"/>
    <col min="7952" max="7952" width="1.33203125" style="21" customWidth="1"/>
    <col min="7953" max="7953" width="3.5" style="21" customWidth="1"/>
    <col min="7954" max="7954" width="6.1640625" style="21" customWidth="1"/>
    <col min="7955" max="8192" width="5.83203125" style="21"/>
    <col min="8193" max="8193" width="4" style="21" customWidth="1"/>
    <col min="8194" max="8194" width="33.5" style="21" customWidth="1"/>
    <col min="8195" max="8195" width="5.83203125" style="21"/>
    <col min="8196" max="8196" width="8.83203125" style="21" customWidth="1"/>
    <col min="8197" max="8197" width="7.83203125" style="21" customWidth="1"/>
    <col min="8198" max="8199" width="5.83203125" style="21"/>
    <col min="8200" max="8200" width="7.1640625" style="21" customWidth="1"/>
    <col min="8201" max="8201" width="8.6640625" style="21" customWidth="1"/>
    <col min="8202" max="8202" width="7.33203125" style="21" customWidth="1"/>
    <col min="8203" max="8204" width="7.5" style="21" customWidth="1"/>
    <col min="8205" max="8206" width="5.83203125" style="21"/>
    <col min="8207" max="8207" width="7.33203125" style="21" customWidth="1"/>
    <col min="8208" max="8208" width="1.33203125" style="21" customWidth="1"/>
    <col min="8209" max="8209" width="3.5" style="21" customWidth="1"/>
    <col min="8210" max="8210" width="6.1640625" style="21" customWidth="1"/>
    <col min="8211" max="8448" width="5.83203125" style="21"/>
    <col min="8449" max="8449" width="4" style="21" customWidth="1"/>
    <col min="8450" max="8450" width="33.5" style="21" customWidth="1"/>
    <col min="8451" max="8451" width="5.83203125" style="21"/>
    <col min="8452" max="8452" width="8.83203125" style="21" customWidth="1"/>
    <col min="8453" max="8453" width="7.83203125" style="21" customWidth="1"/>
    <col min="8454" max="8455" width="5.83203125" style="21"/>
    <col min="8456" max="8456" width="7.1640625" style="21" customWidth="1"/>
    <col min="8457" max="8457" width="8.6640625" style="21" customWidth="1"/>
    <col min="8458" max="8458" width="7.33203125" style="21" customWidth="1"/>
    <col min="8459" max="8460" width="7.5" style="21" customWidth="1"/>
    <col min="8461" max="8462" width="5.83203125" style="21"/>
    <col min="8463" max="8463" width="7.33203125" style="21" customWidth="1"/>
    <col min="8464" max="8464" width="1.33203125" style="21" customWidth="1"/>
    <col min="8465" max="8465" width="3.5" style="21" customWidth="1"/>
    <col min="8466" max="8466" width="6.1640625" style="21" customWidth="1"/>
    <col min="8467" max="8704" width="5.83203125" style="21"/>
    <col min="8705" max="8705" width="4" style="21" customWidth="1"/>
    <col min="8706" max="8706" width="33.5" style="21" customWidth="1"/>
    <col min="8707" max="8707" width="5.83203125" style="21"/>
    <col min="8708" max="8708" width="8.83203125" style="21" customWidth="1"/>
    <col min="8709" max="8709" width="7.83203125" style="21" customWidth="1"/>
    <col min="8710" max="8711" width="5.83203125" style="21"/>
    <col min="8712" max="8712" width="7.1640625" style="21" customWidth="1"/>
    <col min="8713" max="8713" width="8.6640625" style="21" customWidth="1"/>
    <col min="8714" max="8714" width="7.33203125" style="21" customWidth="1"/>
    <col min="8715" max="8716" width="7.5" style="21" customWidth="1"/>
    <col min="8717" max="8718" width="5.83203125" style="21"/>
    <col min="8719" max="8719" width="7.33203125" style="21" customWidth="1"/>
    <col min="8720" max="8720" width="1.33203125" style="21" customWidth="1"/>
    <col min="8721" max="8721" width="3.5" style="21" customWidth="1"/>
    <col min="8722" max="8722" width="6.1640625" style="21" customWidth="1"/>
    <col min="8723" max="8960" width="5.83203125" style="21"/>
    <col min="8961" max="8961" width="4" style="21" customWidth="1"/>
    <col min="8962" max="8962" width="33.5" style="21" customWidth="1"/>
    <col min="8963" max="8963" width="5.83203125" style="21"/>
    <col min="8964" max="8964" width="8.83203125" style="21" customWidth="1"/>
    <col min="8965" max="8965" width="7.83203125" style="21" customWidth="1"/>
    <col min="8966" max="8967" width="5.83203125" style="21"/>
    <col min="8968" max="8968" width="7.1640625" style="21" customWidth="1"/>
    <col min="8969" max="8969" width="8.6640625" style="21" customWidth="1"/>
    <col min="8970" max="8970" width="7.33203125" style="21" customWidth="1"/>
    <col min="8971" max="8972" width="7.5" style="21" customWidth="1"/>
    <col min="8973" max="8974" width="5.83203125" style="21"/>
    <col min="8975" max="8975" width="7.33203125" style="21" customWidth="1"/>
    <col min="8976" max="8976" width="1.33203125" style="21" customWidth="1"/>
    <col min="8977" max="8977" width="3.5" style="21" customWidth="1"/>
    <col min="8978" max="8978" width="6.1640625" style="21" customWidth="1"/>
    <col min="8979" max="9216" width="5.83203125" style="21"/>
    <col min="9217" max="9217" width="4" style="21" customWidth="1"/>
    <col min="9218" max="9218" width="33.5" style="21" customWidth="1"/>
    <col min="9219" max="9219" width="5.83203125" style="21"/>
    <col min="9220" max="9220" width="8.83203125" style="21" customWidth="1"/>
    <col min="9221" max="9221" width="7.83203125" style="21" customWidth="1"/>
    <col min="9222" max="9223" width="5.83203125" style="21"/>
    <col min="9224" max="9224" width="7.1640625" style="21" customWidth="1"/>
    <col min="9225" max="9225" width="8.6640625" style="21" customWidth="1"/>
    <col min="9226" max="9226" width="7.33203125" style="21" customWidth="1"/>
    <col min="9227" max="9228" width="7.5" style="21" customWidth="1"/>
    <col min="9229" max="9230" width="5.83203125" style="21"/>
    <col min="9231" max="9231" width="7.33203125" style="21" customWidth="1"/>
    <col min="9232" max="9232" width="1.33203125" style="21" customWidth="1"/>
    <col min="9233" max="9233" width="3.5" style="21" customWidth="1"/>
    <col min="9234" max="9234" width="6.1640625" style="21" customWidth="1"/>
    <col min="9235" max="9472" width="5.83203125" style="21"/>
    <col min="9473" max="9473" width="4" style="21" customWidth="1"/>
    <col min="9474" max="9474" width="33.5" style="21" customWidth="1"/>
    <col min="9475" max="9475" width="5.83203125" style="21"/>
    <col min="9476" max="9476" width="8.83203125" style="21" customWidth="1"/>
    <col min="9477" max="9477" width="7.83203125" style="21" customWidth="1"/>
    <col min="9478" max="9479" width="5.83203125" style="21"/>
    <col min="9480" max="9480" width="7.1640625" style="21" customWidth="1"/>
    <col min="9481" max="9481" width="8.6640625" style="21" customWidth="1"/>
    <col min="9482" max="9482" width="7.33203125" style="21" customWidth="1"/>
    <col min="9483" max="9484" width="7.5" style="21" customWidth="1"/>
    <col min="9485" max="9486" width="5.83203125" style="21"/>
    <col min="9487" max="9487" width="7.33203125" style="21" customWidth="1"/>
    <col min="9488" max="9488" width="1.33203125" style="21" customWidth="1"/>
    <col min="9489" max="9489" width="3.5" style="21" customWidth="1"/>
    <col min="9490" max="9490" width="6.1640625" style="21" customWidth="1"/>
    <col min="9491" max="9728" width="5.83203125" style="21"/>
    <col min="9729" max="9729" width="4" style="21" customWidth="1"/>
    <col min="9730" max="9730" width="33.5" style="21" customWidth="1"/>
    <col min="9731" max="9731" width="5.83203125" style="21"/>
    <col min="9732" max="9732" width="8.83203125" style="21" customWidth="1"/>
    <col min="9733" max="9733" width="7.83203125" style="21" customWidth="1"/>
    <col min="9734" max="9735" width="5.83203125" style="21"/>
    <col min="9736" max="9736" width="7.1640625" style="21" customWidth="1"/>
    <col min="9737" max="9737" width="8.6640625" style="21" customWidth="1"/>
    <col min="9738" max="9738" width="7.33203125" style="21" customWidth="1"/>
    <col min="9739" max="9740" width="7.5" style="21" customWidth="1"/>
    <col min="9741" max="9742" width="5.83203125" style="21"/>
    <col min="9743" max="9743" width="7.33203125" style="21" customWidth="1"/>
    <col min="9744" max="9744" width="1.33203125" style="21" customWidth="1"/>
    <col min="9745" max="9745" width="3.5" style="21" customWidth="1"/>
    <col min="9746" max="9746" width="6.1640625" style="21" customWidth="1"/>
    <col min="9747" max="9984" width="5.83203125" style="21"/>
    <col min="9985" max="9985" width="4" style="21" customWidth="1"/>
    <col min="9986" max="9986" width="33.5" style="21" customWidth="1"/>
    <col min="9987" max="9987" width="5.83203125" style="21"/>
    <col min="9988" max="9988" width="8.83203125" style="21" customWidth="1"/>
    <col min="9989" max="9989" width="7.83203125" style="21" customWidth="1"/>
    <col min="9990" max="9991" width="5.83203125" style="21"/>
    <col min="9992" max="9992" width="7.1640625" style="21" customWidth="1"/>
    <col min="9993" max="9993" width="8.6640625" style="21" customWidth="1"/>
    <col min="9994" max="9994" width="7.33203125" style="21" customWidth="1"/>
    <col min="9995" max="9996" width="7.5" style="21" customWidth="1"/>
    <col min="9997" max="9998" width="5.83203125" style="21"/>
    <col min="9999" max="9999" width="7.33203125" style="21" customWidth="1"/>
    <col min="10000" max="10000" width="1.33203125" style="21" customWidth="1"/>
    <col min="10001" max="10001" width="3.5" style="21" customWidth="1"/>
    <col min="10002" max="10002" width="6.1640625" style="21" customWidth="1"/>
    <col min="10003" max="10240" width="5.83203125" style="21"/>
    <col min="10241" max="10241" width="4" style="21" customWidth="1"/>
    <col min="10242" max="10242" width="33.5" style="21" customWidth="1"/>
    <col min="10243" max="10243" width="5.83203125" style="21"/>
    <col min="10244" max="10244" width="8.83203125" style="21" customWidth="1"/>
    <col min="10245" max="10245" width="7.83203125" style="21" customWidth="1"/>
    <col min="10246" max="10247" width="5.83203125" style="21"/>
    <col min="10248" max="10248" width="7.1640625" style="21" customWidth="1"/>
    <col min="10249" max="10249" width="8.6640625" style="21" customWidth="1"/>
    <col min="10250" max="10250" width="7.33203125" style="21" customWidth="1"/>
    <col min="10251" max="10252" width="7.5" style="21" customWidth="1"/>
    <col min="10253" max="10254" width="5.83203125" style="21"/>
    <col min="10255" max="10255" width="7.33203125" style="21" customWidth="1"/>
    <col min="10256" max="10256" width="1.33203125" style="21" customWidth="1"/>
    <col min="10257" max="10257" width="3.5" style="21" customWidth="1"/>
    <col min="10258" max="10258" width="6.1640625" style="21" customWidth="1"/>
    <col min="10259" max="10496" width="5.83203125" style="21"/>
    <col min="10497" max="10497" width="4" style="21" customWidth="1"/>
    <col min="10498" max="10498" width="33.5" style="21" customWidth="1"/>
    <col min="10499" max="10499" width="5.83203125" style="21"/>
    <col min="10500" max="10500" width="8.83203125" style="21" customWidth="1"/>
    <col min="10501" max="10501" width="7.83203125" style="21" customWidth="1"/>
    <col min="10502" max="10503" width="5.83203125" style="21"/>
    <col min="10504" max="10504" width="7.1640625" style="21" customWidth="1"/>
    <col min="10505" max="10505" width="8.6640625" style="21" customWidth="1"/>
    <col min="10506" max="10506" width="7.33203125" style="21" customWidth="1"/>
    <col min="10507" max="10508" width="7.5" style="21" customWidth="1"/>
    <col min="10509" max="10510" width="5.83203125" style="21"/>
    <col min="10511" max="10511" width="7.33203125" style="21" customWidth="1"/>
    <col min="10512" max="10512" width="1.33203125" style="21" customWidth="1"/>
    <col min="10513" max="10513" width="3.5" style="21" customWidth="1"/>
    <col min="10514" max="10514" width="6.1640625" style="21" customWidth="1"/>
    <col min="10515" max="10752" width="5.83203125" style="21"/>
    <col min="10753" max="10753" width="4" style="21" customWidth="1"/>
    <col min="10754" max="10754" width="33.5" style="21" customWidth="1"/>
    <col min="10755" max="10755" width="5.83203125" style="21"/>
    <col min="10756" max="10756" width="8.83203125" style="21" customWidth="1"/>
    <col min="10757" max="10757" width="7.83203125" style="21" customWidth="1"/>
    <col min="10758" max="10759" width="5.83203125" style="21"/>
    <col min="10760" max="10760" width="7.1640625" style="21" customWidth="1"/>
    <col min="10761" max="10761" width="8.6640625" style="21" customWidth="1"/>
    <col min="10762" max="10762" width="7.33203125" style="21" customWidth="1"/>
    <col min="10763" max="10764" width="7.5" style="21" customWidth="1"/>
    <col min="10765" max="10766" width="5.83203125" style="21"/>
    <col min="10767" max="10767" width="7.33203125" style="21" customWidth="1"/>
    <col min="10768" max="10768" width="1.33203125" style="21" customWidth="1"/>
    <col min="10769" max="10769" width="3.5" style="21" customWidth="1"/>
    <col min="10770" max="10770" width="6.1640625" style="21" customWidth="1"/>
    <col min="10771" max="11008" width="5.83203125" style="21"/>
    <col min="11009" max="11009" width="4" style="21" customWidth="1"/>
    <col min="11010" max="11010" width="33.5" style="21" customWidth="1"/>
    <col min="11011" max="11011" width="5.83203125" style="21"/>
    <col min="11012" max="11012" width="8.83203125" style="21" customWidth="1"/>
    <col min="11013" max="11013" width="7.83203125" style="21" customWidth="1"/>
    <col min="11014" max="11015" width="5.83203125" style="21"/>
    <col min="11016" max="11016" width="7.1640625" style="21" customWidth="1"/>
    <col min="11017" max="11017" width="8.6640625" style="21" customWidth="1"/>
    <col min="11018" max="11018" width="7.33203125" style="21" customWidth="1"/>
    <col min="11019" max="11020" width="7.5" style="21" customWidth="1"/>
    <col min="11021" max="11022" width="5.83203125" style="21"/>
    <col min="11023" max="11023" width="7.33203125" style="21" customWidth="1"/>
    <col min="11024" max="11024" width="1.33203125" style="21" customWidth="1"/>
    <col min="11025" max="11025" width="3.5" style="21" customWidth="1"/>
    <col min="11026" max="11026" width="6.1640625" style="21" customWidth="1"/>
    <col min="11027" max="11264" width="5.83203125" style="21"/>
    <col min="11265" max="11265" width="4" style="21" customWidth="1"/>
    <col min="11266" max="11266" width="33.5" style="21" customWidth="1"/>
    <col min="11267" max="11267" width="5.83203125" style="21"/>
    <col min="11268" max="11268" width="8.83203125" style="21" customWidth="1"/>
    <col min="11269" max="11269" width="7.83203125" style="21" customWidth="1"/>
    <col min="11270" max="11271" width="5.83203125" style="21"/>
    <col min="11272" max="11272" width="7.1640625" style="21" customWidth="1"/>
    <col min="11273" max="11273" width="8.6640625" style="21" customWidth="1"/>
    <col min="11274" max="11274" width="7.33203125" style="21" customWidth="1"/>
    <col min="11275" max="11276" width="7.5" style="21" customWidth="1"/>
    <col min="11277" max="11278" width="5.83203125" style="21"/>
    <col min="11279" max="11279" width="7.33203125" style="21" customWidth="1"/>
    <col min="11280" max="11280" width="1.33203125" style="21" customWidth="1"/>
    <col min="11281" max="11281" width="3.5" style="21" customWidth="1"/>
    <col min="11282" max="11282" width="6.1640625" style="21" customWidth="1"/>
    <col min="11283" max="11520" width="5.83203125" style="21"/>
    <col min="11521" max="11521" width="4" style="21" customWidth="1"/>
    <col min="11522" max="11522" width="33.5" style="21" customWidth="1"/>
    <col min="11523" max="11523" width="5.83203125" style="21"/>
    <col min="11524" max="11524" width="8.83203125" style="21" customWidth="1"/>
    <col min="11525" max="11525" width="7.83203125" style="21" customWidth="1"/>
    <col min="11526" max="11527" width="5.83203125" style="21"/>
    <col min="11528" max="11528" width="7.1640625" style="21" customWidth="1"/>
    <col min="11529" max="11529" width="8.6640625" style="21" customWidth="1"/>
    <col min="11530" max="11530" width="7.33203125" style="21" customWidth="1"/>
    <col min="11531" max="11532" width="7.5" style="21" customWidth="1"/>
    <col min="11533" max="11534" width="5.83203125" style="21"/>
    <col min="11535" max="11535" width="7.33203125" style="21" customWidth="1"/>
    <col min="11536" max="11536" width="1.33203125" style="21" customWidth="1"/>
    <col min="11537" max="11537" width="3.5" style="21" customWidth="1"/>
    <col min="11538" max="11538" width="6.1640625" style="21" customWidth="1"/>
    <col min="11539" max="11776" width="5.83203125" style="21"/>
    <col min="11777" max="11777" width="4" style="21" customWidth="1"/>
    <col min="11778" max="11778" width="33.5" style="21" customWidth="1"/>
    <col min="11779" max="11779" width="5.83203125" style="21"/>
    <col min="11780" max="11780" width="8.83203125" style="21" customWidth="1"/>
    <col min="11781" max="11781" width="7.83203125" style="21" customWidth="1"/>
    <col min="11782" max="11783" width="5.83203125" style="21"/>
    <col min="11784" max="11784" width="7.1640625" style="21" customWidth="1"/>
    <col min="11785" max="11785" width="8.6640625" style="21" customWidth="1"/>
    <col min="11786" max="11786" width="7.33203125" style="21" customWidth="1"/>
    <col min="11787" max="11788" width="7.5" style="21" customWidth="1"/>
    <col min="11789" max="11790" width="5.83203125" style="21"/>
    <col min="11791" max="11791" width="7.33203125" style="21" customWidth="1"/>
    <col min="11792" max="11792" width="1.33203125" style="21" customWidth="1"/>
    <col min="11793" max="11793" width="3.5" style="21" customWidth="1"/>
    <col min="11794" max="11794" width="6.1640625" style="21" customWidth="1"/>
    <col min="11795" max="12032" width="5.83203125" style="21"/>
    <col min="12033" max="12033" width="4" style="21" customWidth="1"/>
    <col min="12034" max="12034" width="33.5" style="21" customWidth="1"/>
    <col min="12035" max="12035" width="5.83203125" style="21"/>
    <col min="12036" max="12036" width="8.83203125" style="21" customWidth="1"/>
    <col min="12037" max="12037" width="7.83203125" style="21" customWidth="1"/>
    <col min="12038" max="12039" width="5.83203125" style="21"/>
    <col min="12040" max="12040" width="7.1640625" style="21" customWidth="1"/>
    <col min="12041" max="12041" width="8.6640625" style="21" customWidth="1"/>
    <col min="12042" max="12042" width="7.33203125" style="21" customWidth="1"/>
    <col min="12043" max="12044" width="7.5" style="21" customWidth="1"/>
    <col min="12045" max="12046" width="5.83203125" style="21"/>
    <col min="12047" max="12047" width="7.33203125" style="21" customWidth="1"/>
    <col min="12048" max="12048" width="1.33203125" style="21" customWidth="1"/>
    <col min="12049" max="12049" width="3.5" style="21" customWidth="1"/>
    <col min="12050" max="12050" width="6.1640625" style="21" customWidth="1"/>
    <col min="12051" max="12288" width="5.83203125" style="21"/>
    <col min="12289" max="12289" width="4" style="21" customWidth="1"/>
    <col min="12290" max="12290" width="33.5" style="21" customWidth="1"/>
    <col min="12291" max="12291" width="5.83203125" style="21"/>
    <col min="12292" max="12292" width="8.83203125" style="21" customWidth="1"/>
    <col min="12293" max="12293" width="7.83203125" style="21" customWidth="1"/>
    <col min="12294" max="12295" width="5.83203125" style="21"/>
    <col min="12296" max="12296" width="7.1640625" style="21" customWidth="1"/>
    <col min="12297" max="12297" width="8.6640625" style="21" customWidth="1"/>
    <col min="12298" max="12298" width="7.33203125" style="21" customWidth="1"/>
    <col min="12299" max="12300" width="7.5" style="21" customWidth="1"/>
    <col min="12301" max="12302" width="5.83203125" style="21"/>
    <col min="12303" max="12303" width="7.33203125" style="21" customWidth="1"/>
    <col min="12304" max="12304" width="1.33203125" style="21" customWidth="1"/>
    <col min="12305" max="12305" width="3.5" style="21" customWidth="1"/>
    <col min="12306" max="12306" width="6.1640625" style="21" customWidth="1"/>
    <col min="12307" max="12544" width="5.83203125" style="21"/>
    <col min="12545" max="12545" width="4" style="21" customWidth="1"/>
    <col min="12546" max="12546" width="33.5" style="21" customWidth="1"/>
    <col min="12547" max="12547" width="5.83203125" style="21"/>
    <col min="12548" max="12548" width="8.83203125" style="21" customWidth="1"/>
    <col min="12549" max="12549" width="7.83203125" style="21" customWidth="1"/>
    <col min="12550" max="12551" width="5.83203125" style="21"/>
    <col min="12552" max="12552" width="7.1640625" style="21" customWidth="1"/>
    <col min="12553" max="12553" width="8.6640625" style="21" customWidth="1"/>
    <col min="12554" max="12554" width="7.33203125" style="21" customWidth="1"/>
    <col min="12555" max="12556" width="7.5" style="21" customWidth="1"/>
    <col min="12557" max="12558" width="5.83203125" style="21"/>
    <col min="12559" max="12559" width="7.33203125" style="21" customWidth="1"/>
    <col min="12560" max="12560" width="1.33203125" style="21" customWidth="1"/>
    <col min="12561" max="12561" width="3.5" style="21" customWidth="1"/>
    <col min="12562" max="12562" width="6.1640625" style="21" customWidth="1"/>
    <col min="12563" max="12800" width="5.83203125" style="21"/>
    <col min="12801" max="12801" width="4" style="21" customWidth="1"/>
    <col min="12802" max="12802" width="33.5" style="21" customWidth="1"/>
    <col min="12803" max="12803" width="5.83203125" style="21"/>
    <col min="12804" max="12804" width="8.83203125" style="21" customWidth="1"/>
    <col min="12805" max="12805" width="7.83203125" style="21" customWidth="1"/>
    <col min="12806" max="12807" width="5.83203125" style="21"/>
    <col min="12808" max="12808" width="7.1640625" style="21" customWidth="1"/>
    <col min="12809" max="12809" width="8.6640625" style="21" customWidth="1"/>
    <col min="12810" max="12810" width="7.33203125" style="21" customWidth="1"/>
    <col min="12811" max="12812" width="7.5" style="21" customWidth="1"/>
    <col min="12813" max="12814" width="5.83203125" style="21"/>
    <col min="12815" max="12815" width="7.33203125" style="21" customWidth="1"/>
    <col min="12816" max="12816" width="1.33203125" style="21" customWidth="1"/>
    <col min="12817" max="12817" width="3.5" style="21" customWidth="1"/>
    <col min="12818" max="12818" width="6.1640625" style="21" customWidth="1"/>
    <col min="12819" max="13056" width="5.83203125" style="21"/>
    <col min="13057" max="13057" width="4" style="21" customWidth="1"/>
    <col min="13058" max="13058" width="33.5" style="21" customWidth="1"/>
    <col min="13059" max="13059" width="5.83203125" style="21"/>
    <col min="13060" max="13060" width="8.83203125" style="21" customWidth="1"/>
    <col min="13061" max="13061" width="7.83203125" style="21" customWidth="1"/>
    <col min="13062" max="13063" width="5.83203125" style="21"/>
    <col min="13064" max="13064" width="7.1640625" style="21" customWidth="1"/>
    <col min="13065" max="13065" width="8.6640625" style="21" customWidth="1"/>
    <col min="13066" max="13066" width="7.33203125" style="21" customWidth="1"/>
    <col min="13067" max="13068" width="7.5" style="21" customWidth="1"/>
    <col min="13069" max="13070" width="5.83203125" style="21"/>
    <col min="13071" max="13071" width="7.33203125" style="21" customWidth="1"/>
    <col min="13072" max="13072" width="1.33203125" style="21" customWidth="1"/>
    <col min="13073" max="13073" width="3.5" style="21" customWidth="1"/>
    <col min="13074" max="13074" width="6.1640625" style="21" customWidth="1"/>
    <col min="13075" max="13312" width="5.83203125" style="21"/>
    <col min="13313" max="13313" width="4" style="21" customWidth="1"/>
    <col min="13314" max="13314" width="33.5" style="21" customWidth="1"/>
    <col min="13315" max="13315" width="5.83203125" style="21"/>
    <col min="13316" max="13316" width="8.83203125" style="21" customWidth="1"/>
    <col min="13317" max="13317" width="7.83203125" style="21" customWidth="1"/>
    <col min="13318" max="13319" width="5.83203125" style="21"/>
    <col min="13320" max="13320" width="7.1640625" style="21" customWidth="1"/>
    <col min="13321" max="13321" width="8.6640625" style="21" customWidth="1"/>
    <col min="13322" max="13322" width="7.33203125" style="21" customWidth="1"/>
    <col min="13323" max="13324" width="7.5" style="21" customWidth="1"/>
    <col min="13325" max="13326" width="5.83203125" style="21"/>
    <col min="13327" max="13327" width="7.33203125" style="21" customWidth="1"/>
    <col min="13328" max="13328" width="1.33203125" style="21" customWidth="1"/>
    <col min="13329" max="13329" width="3.5" style="21" customWidth="1"/>
    <col min="13330" max="13330" width="6.1640625" style="21" customWidth="1"/>
    <col min="13331" max="13568" width="5.83203125" style="21"/>
    <col min="13569" max="13569" width="4" style="21" customWidth="1"/>
    <col min="13570" max="13570" width="33.5" style="21" customWidth="1"/>
    <col min="13571" max="13571" width="5.83203125" style="21"/>
    <col min="13572" max="13572" width="8.83203125" style="21" customWidth="1"/>
    <col min="13573" max="13573" width="7.83203125" style="21" customWidth="1"/>
    <col min="13574" max="13575" width="5.83203125" style="21"/>
    <col min="13576" max="13576" width="7.1640625" style="21" customWidth="1"/>
    <col min="13577" max="13577" width="8.6640625" style="21" customWidth="1"/>
    <col min="13578" max="13578" width="7.33203125" style="21" customWidth="1"/>
    <col min="13579" max="13580" width="7.5" style="21" customWidth="1"/>
    <col min="13581" max="13582" width="5.83203125" style="21"/>
    <col min="13583" max="13583" width="7.33203125" style="21" customWidth="1"/>
    <col min="13584" max="13584" width="1.33203125" style="21" customWidth="1"/>
    <col min="13585" max="13585" width="3.5" style="21" customWidth="1"/>
    <col min="13586" max="13586" width="6.1640625" style="21" customWidth="1"/>
    <col min="13587" max="13824" width="5.83203125" style="21"/>
    <col min="13825" max="13825" width="4" style="21" customWidth="1"/>
    <col min="13826" max="13826" width="33.5" style="21" customWidth="1"/>
    <col min="13827" max="13827" width="5.83203125" style="21"/>
    <col min="13828" max="13828" width="8.83203125" style="21" customWidth="1"/>
    <col min="13829" max="13829" width="7.83203125" style="21" customWidth="1"/>
    <col min="13830" max="13831" width="5.83203125" style="21"/>
    <col min="13832" max="13832" width="7.1640625" style="21" customWidth="1"/>
    <col min="13833" max="13833" width="8.6640625" style="21" customWidth="1"/>
    <col min="13834" max="13834" width="7.33203125" style="21" customWidth="1"/>
    <col min="13835" max="13836" width="7.5" style="21" customWidth="1"/>
    <col min="13837" max="13838" width="5.83203125" style="21"/>
    <col min="13839" max="13839" width="7.33203125" style="21" customWidth="1"/>
    <col min="13840" max="13840" width="1.33203125" style="21" customWidth="1"/>
    <col min="13841" max="13841" width="3.5" style="21" customWidth="1"/>
    <col min="13842" max="13842" width="6.1640625" style="21" customWidth="1"/>
    <col min="13843" max="14080" width="5.83203125" style="21"/>
    <col min="14081" max="14081" width="4" style="21" customWidth="1"/>
    <col min="14082" max="14082" width="33.5" style="21" customWidth="1"/>
    <col min="14083" max="14083" width="5.83203125" style="21"/>
    <col min="14084" max="14084" width="8.83203125" style="21" customWidth="1"/>
    <col min="14085" max="14085" width="7.83203125" style="21" customWidth="1"/>
    <col min="14086" max="14087" width="5.83203125" style="21"/>
    <col min="14088" max="14088" width="7.1640625" style="21" customWidth="1"/>
    <col min="14089" max="14089" width="8.6640625" style="21" customWidth="1"/>
    <col min="14090" max="14090" width="7.33203125" style="21" customWidth="1"/>
    <col min="14091" max="14092" width="7.5" style="21" customWidth="1"/>
    <col min="14093" max="14094" width="5.83203125" style="21"/>
    <col min="14095" max="14095" width="7.33203125" style="21" customWidth="1"/>
    <col min="14096" max="14096" width="1.33203125" style="21" customWidth="1"/>
    <col min="14097" max="14097" width="3.5" style="21" customWidth="1"/>
    <col min="14098" max="14098" width="6.1640625" style="21" customWidth="1"/>
    <col min="14099" max="14336" width="5.83203125" style="21"/>
    <col min="14337" max="14337" width="4" style="21" customWidth="1"/>
    <col min="14338" max="14338" width="33.5" style="21" customWidth="1"/>
    <col min="14339" max="14339" width="5.83203125" style="21"/>
    <col min="14340" max="14340" width="8.83203125" style="21" customWidth="1"/>
    <col min="14341" max="14341" width="7.83203125" style="21" customWidth="1"/>
    <col min="14342" max="14343" width="5.83203125" style="21"/>
    <col min="14344" max="14344" width="7.1640625" style="21" customWidth="1"/>
    <col min="14345" max="14345" width="8.6640625" style="21" customWidth="1"/>
    <col min="14346" max="14346" width="7.33203125" style="21" customWidth="1"/>
    <col min="14347" max="14348" width="7.5" style="21" customWidth="1"/>
    <col min="14349" max="14350" width="5.83203125" style="21"/>
    <col min="14351" max="14351" width="7.33203125" style="21" customWidth="1"/>
    <col min="14352" max="14352" width="1.33203125" style="21" customWidth="1"/>
    <col min="14353" max="14353" width="3.5" style="21" customWidth="1"/>
    <col min="14354" max="14354" width="6.1640625" style="21" customWidth="1"/>
    <col min="14355" max="14592" width="5.83203125" style="21"/>
    <col min="14593" max="14593" width="4" style="21" customWidth="1"/>
    <col min="14594" max="14594" width="33.5" style="21" customWidth="1"/>
    <col min="14595" max="14595" width="5.83203125" style="21"/>
    <col min="14596" max="14596" width="8.83203125" style="21" customWidth="1"/>
    <col min="14597" max="14597" width="7.83203125" style="21" customWidth="1"/>
    <col min="14598" max="14599" width="5.83203125" style="21"/>
    <col min="14600" max="14600" width="7.1640625" style="21" customWidth="1"/>
    <col min="14601" max="14601" width="8.6640625" style="21" customWidth="1"/>
    <col min="14602" max="14602" width="7.33203125" style="21" customWidth="1"/>
    <col min="14603" max="14604" width="7.5" style="21" customWidth="1"/>
    <col min="14605" max="14606" width="5.83203125" style="21"/>
    <col min="14607" max="14607" width="7.33203125" style="21" customWidth="1"/>
    <col min="14608" max="14608" width="1.33203125" style="21" customWidth="1"/>
    <col min="14609" max="14609" width="3.5" style="21" customWidth="1"/>
    <col min="14610" max="14610" width="6.1640625" style="21" customWidth="1"/>
    <col min="14611" max="14848" width="5.83203125" style="21"/>
    <col min="14849" max="14849" width="4" style="21" customWidth="1"/>
    <col min="14850" max="14850" width="33.5" style="21" customWidth="1"/>
    <col min="14851" max="14851" width="5.83203125" style="21"/>
    <col min="14852" max="14852" width="8.83203125" style="21" customWidth="1"/>
    <col min="14853" max="14853" width="7.83203125" style="21" customWidth="1"/>
    <col min="14854" max="14855" width="5.83203125" style="21"/>
    <col min="14856" max="14856" width="7.1640625" style="21" customWidth="1"/>
    <col min="14857" max="14857" width="8.6640625" style="21" customWidth="1"/>
    <col min="14858" max="14858" width="7.33203125" style="21" customWidth="1"/>
    <col min="14859" max="14860" width="7.5" style="21" customWidth="1"/>
    <col min="14861" max="14862" width="5.83203125" style="21"/>
    <col min="14863" max="14863" width="7.33203125" style="21" customWidth="1"/>
    <col min="14864" max="14864" width="1.33203125" style="21" customWidth="1"/>
    <col min="14865" max="14865" width="3.5" style="21" customWidth="1"/>
    <col min="14866" max="14866" width="6.1640625" style="21" customWidth="1"/>
    <col min="14867" max="15104" width="5.83203125" style="21"/>
    <col min="15105" max="15105" width="4" style="21" customWidth="1"/>
    <col min="15106" max="15106" width="33.5" style="21" customWidth="1"/>
    <col min="15107" max="15107" width="5.83203125" style="21"/>
    <col min="15108" max="15108" width="8.83203125" style="21" customWidth="1"/>
    <col min="15109" max="15109" width="7.83203125" style="21" customWidth="1"/>
    <col min="15110" max="15111" width="5.83203125" style="21"/>
    <col min="15112" max="15112" width="7.1640625" style="21" customWidth="1"/>
    <col min="15113" max="15113" width="8.6640625" style="21" customWidth="1"/>
    <col min="15114" max="15114" width="7.33203125" style="21" customWidth="1"/>
    <col min="15115" max="15116" width="7.5" style="21" customWidth="1"/>
    <col min="15117" max="15118" width="5.83203125" style="21"/>
    <col min="15119" max="15119" width="7.33203125" style="21" customWidth="1"/>
    <col min="15120" max="15120" width="1.33203125" style="21" customWidth="1"/>
    <col min="15121" max="15121" width="3.5" style="21" customWidth="1"/>
    <col min="15122" max="15122" width="6.1640625" style="21" customWidth="1"/>
    <col min="15123" max="15360" width="5.83203125" style="21"/>
    <col min="15361" max="15361" width="4" style="21" customWidth="1"/>
    <col min="15362" max="15362" width="33.5" style="21" customWidth="1"/>
    <col min="15363" max="15363" width="5.83203125" style="21"/>
    <col min="15364" max="15364" width="8.83203125" style="21" customWidth="1"/>
    <col min="15365" max="15365" width="7.83203125" style="21" customWidth="1"/>
    <col min="15366" max="15367" width="5.83203125" style="21"/>
    <col min="15368" max="15368" width="7.1640625" style="21" customWidth="1"/>
    <col min="15369" max="15369" width="8.6640625" style="21" customWidth="1"/>
    <col min="15370" max="15370" width="7.33203125" style="21" customWidth="1"/>
    <col min="15371" max="15372" width="7.5" style="21" customWidth="1"/>
    <col min="15373" max="15374" width="5.83203125" style="21"/>
    <col min="15375" max="15375" width="7.33203125" style="21" customWidth="1"/>
    <col min="15376" max="15376" width="1.33203125" style="21" customWidth="1"/>
    <col min="15377" max="15377" width="3.5" style="21" customWidth="1"/>
    <col min="15378" max="15378" width="6.1640625" style="21" customWidth="1"/>
    <col min="15379" max="15616" width="5.83203125" style="21"/>
    <col min="15617" max="15617" width="4" style="21" customWidth="1"/>
    <col min="15618" max="15618" width="33.5" style="21" customWidth="1"/>
    <col min="15619" max="15619" width="5.83203125" style="21"/>
    <col min="15620" max="15620" width="8.83203125" style="21" customWidth="1"/>
    <col min="15621" max="15621" width="7.83203125" style="21" customWidth="1"/>
    <col min="15622" max="15623" width="5.83203125" style="21"/>
    <col min="15624" max="15624" width="7.1640625" style="21" customWidth="1"/>
    <col min="15625" max="15625" width="8.6640625" style="21" customWidth="1"/>
    <col min="15626" max="15626" width="7.33203125" style="21" customWidth="1"/>
    <col min="15627" max="15628" width="7.5" style="21" customWidth="1"/>
    <col min="15629" max="15630" width="5.83203125" style="21"/>
    <col min="15631" max="15631" width="7.33203125" style="21" customWidth="1"/>
    <col min="15632" max="15632" width="1.33203125" style="21" customWidth="1"/>
    <col min="15633" max="15633" width="3.5" style="21" customWidth="1"/>
    <col min="15634" max="15634" width="6.1640625" style="21" customWidth="1"/>
    <col min="15635" max="15872" width="5.83203125" style="21"/>
    <col min="15873" max="15873" width="4" style="21" customWidth="1"/>
    <col min="15874" max="15874" width="33.5" style="21" customWidth="1"/>
    <col min="15875" max="15875" width="5.83203125" style="21"/>
    <col min="15876" max="15876" width="8.83203125" style="21" customWidth="1"/>
    <col min="15877" max="15877" width="7.83203125" style="21" customWidth="1"/>
    <col min="15878" max="15879" width="5.83203125" style="21"/>
    <col min="15880" max="15880" width="7.1640625" style="21" customWidth="1"/>
    <col min="15881" max="15881" width="8.6640625" style="21" customWidth="1"/>
    <col min="15882" max="15882" width="7.33203125" style="21" customWidth="1"/>
    <col min="15883" max="15884" width="7.5" style="21" customWidth="1"/>
    <col min="15885" max="15886" width="5.83203125" style="21"/>
    <col min="15887" max="15887" width="7.33203125" style="21" customWidth="1"/>
    <col min="15888" max="15888" width="1.33203125" style="21" customWidth="1"/>
    <col min="15889" max="15889" width="3.5" style="21" customWidth="1"/>
    <col min="15890" max="15890" width="6.1640625" style="21" customWidth="1"/>
    <col min="15891" max="16128" width="5.83203125" style="21"/>
    <col min="16129" max="16129" width="4" style="21" customWidth="1"/>
    <col min="16130" max="16130" width="33.5" style="21" customWidth="1"/>
    <col min="16131" max="16131" width="5.83203125" style="21"/>
    <col min="16132" max="16132" width="8.83203125" style="21" customWidth="1"/>
    <col min="16133" max="16133" width="7.83203125" style="21" customWidth="1"/>
    <col min="16134" max="16135" width="5.83203125" style="21"/>
    <col min="16136" max="16136" width="7.1640625" style="21" customWidth="1"/>
    <col min="16137" max="16137" width="8.6640625" style="21" customWidth="1"/>
    <col min="16138" max="16138" width="7.33203125" style="21" customWidth="1"/>
    <col min="16139" max="16140" width="7.5" style="21" customWidth="1"/>
    <col min="16141" max="16142" width="5.83203125" style="21"/>
    <col min="16143" max="16143" width="7.33203125" style="21" customWidth="1"/>
    <col min="16144" max="16144" width="1.33203125" style="21" customWidth="1"/>
    <col min="16145" max="16145" width="3.5" style="21" customWidth="1"/>
    <col min="16146" max="16146" width="6.1640625" style="21" customWidth="1"/>
    <col min="16147" max="16384" width="5.83203125" style="21"/>
  </cols>
  <sheetData>
    <row r="1" spans="1:19" s="86" customFormat="1" ht="15.75" customHeight="1">
      <c r="C1" s="114" t="s">
        <v>126</v>
      </c>
      <c r="D1" s="114"/>
      <c r="E1" s="114"/>
      <c r="F1" s="114"/>
      <c r="G1" s="114"/>
      <c r="H1" s="114"/>
      <c r="I1" s="115" t="s">
        <v>125</v>
      </c>
      <c r="J1" s="116" t="s">
        <v>124</v>
      </c>
      <c r="K1" s="116"/>
      <c r="L1" s="116"/>
      <c r="M1" s="116"/>
      <c r="N1" s="116"/>
      <c r="O1" s="116"/>
      <c r="Q1" s="87"/>
      <c r="R1" s="29"/>
    </row>
    <row r="2" spans="1:19">
      <c r="C2" s="117" t="s">
        <v>123</v>
      </c>
      <c r="D2" s="117"/>
      <c r="E2" s="117"/>
      <c r="F2" s="118" t="s">
        <v>122</v>
      </c>
      <c r="G2" s="118"/>
      <c r="H2" s="118"/>
      <c r="I2" s="115"/>
      <c r="J2" s="117" t="s">
        <v>123</v>
      </c>
      <c r="K2" s="117"/>
      <c r="L2" s="117"/>
      <c r="M2" s="118" t="s">
        <v>122</v>
      </c>
      <c r="N2" s="118"/>
      <c r="O2" s="118"/>
    </row>
    <row r="3" spans="1:19">
      <c r="A3" s="85"/>
      <c r="C3" s="84" t="s">
        <v>121</v>
      </c>
      <c r="D3" s="83" t="s">
        <v>120</v>
      </c>
      <c r="E3" s="82" t="s">
        <v>119</v>
      </c>
      <c r="F3" s="81" t="s">
        <v>121</v>
      </c>
      <c r="G3" s="80" t="s">
        <v>120</v>
      </c>
      <c r="H3" s="79" t="s">
        <v>119</v>
      </c>
      <c r="I3" s="115"/>
      <c r="J3" s="84" t="s">
        <v>121</v>
      </c>
      <c r="K3" s="83" t="s">
        <v>120</v>
      </c>
      <c r="L3" s="82" t="s">
        <v>119</v>
      </c>
      <c r="M3" s="81" t="s">
        <v>121</v>
      </c>
      <c r="N3" s="80" t="s">
        <v>120</v>
      </c>
      <c r="O3" s="79" t="s">
        <v>119</v>
      </c>
      <c r="Q3" s="74"/>
      <c r="R3" s="26"/>
    </row>
    <row r="4" spans="1:19" ht="14.25" customHeight="1">
      <c r="B4" s="78" t="s">
        <v>118</v>
      </c>
      <c r="C4" s="77" t="s">
        <v>117</v>
      </c>
      <c r="D4" s="77" t="s">
        <v>117</v>
      </c>
      <c r="E4" s="45" t="s">
        <v>117</v>
      </c>
      <c r="F4" s="45" t="s">
        <v>117</v>
      </c>
      <c r="G4" s="45" t="s">
        <v>117</v>
      </c>
      <c r="H4" s="77" t="s">
        <v>117</v>
      </c>
      <c r="I4" s="77" t="s">
        <v>117</v>
      </c>
      <c r="J4" s="76" t="s">
        <v>117</v>
      </c>
      <c r="K4" s="75">
        <f>'[4]Ingredients costs'!K22</f>
        <v>902.49640680272103</v>
      </c>
      <c r="L4" s="49"/>
      <c r="M4" s="49"/>
      <c r="N4" s="49"/>
      <c r="O4" s="75">
        <f>'[4]Ingredients costs'!K27</f>
        <v>9382.44</v>
      </c>
      <c r="Q4" s="74"/>
      <c r="R4" s="74"/>
    </row>
    <row r="5" spans="1:19" ht="8.25" customHeight="1">
      <c r="A5" s="73"/>
      <c r="B5" s="73"/>
      <c r="C5" s="45"/>
      <c r="D5" s="45"/>
      <c r="E5" s="45"/>
      <c r="F5" s="45"/>
      <c r="G5" s="45"/>
      <c r="H5" s="45"/>
      <c r="I5" s="45"/>
      <c r="J5" s="49"/>
      <c r="K5" s="49"/>
      <c r="L5" s="49"/>
      <c r="M5" s="49"/>
      <c r="N5" s="49"/>
      <c r="O5" s="49"/>
    </row>
    <row r="6" spans="1:19" s="72" customFormat="1" ht="15" customHeight="1">
      <c r="A6" s="111" t="s">
        <v>116</v>
      </c>
      <c r="B6" s="57" t="s">
        <v>112</v>
      </c>
      <c r="C6" s="45"/>
      <c r="D6" s="45"/>
      <c r="E6" s="45"/>
      <c r="F6" s="45"/>
      <c r="G6" s="45"/>
      <c r="H6" s="45"/>
      <c r="I6" s="56"/>
      <c r="J6" s="44">
        <f>J7+J8</f>
        <v>22.57949387755102</v>
      </c>
      <c r="K6" s="44">
        <f>K7+K8</f>
        <v>34.963749659863943</v>
      </c>
      <c r="L6" s="70"/>
      <c r="M6" s="49"/>
      <c r="N6" s="70"/>
      <c r="O6" s="44">
        <f>O7+O8</f>
        <v>45.158987755102039</v>
      </c>
      <c r="Q6" s="53" t="s">
        <v>111</v>
      </c>
      <c r="R6" s="53"/>
      <c r="S6" s="52"/>
    </row>
    <row r="7" spans="1:19" ht="11.25" customHeight="1">
      <c r="A7" s="111"/>
      <c r="B7" s="33" t="s">
        <v>110</v>
      </c>
      <c r="C7" s="51">
        <v>1</v>
      </c>
      <c r="D7" s="51">
        <v>1</v>
      </c>
      <c r="E7" s="45"/>
      <c r="F7" s="45"/>
      <c r="G7" s="45"/>
      <c r="H7" s="51">
        <v>2</v>
      </c>
      <c r="I7" s="46">
        <f>'[4]Ingredients costs'!J6</f>
        <v>10.195238095238095</v>
      </c>
      <c r="J7" s="50">
        <f>C7*$I7</f>
        <v>10.195238095238095</v>
      </c>
      <c r="K7" s="50">
        <f>D7*$I7</f>
        <v>10.195238095238095</v>
      </c>
      <c r="L7" s="49"/>
      <c r="M7" s="49"/>
      <c r="N7" s="49"/>
      <c r="O7" s="50">
        <f>H7*$I7</f>
        <v>20.390476190476189</v>
      </c>
      <c r="Q7" s="71"/>
      <c r="R7" s="71"/>
    </row>
    <row r="8" spans="1:19">
      <c r="A8" s="111"/>
      <c r="B8" s="33" t="s">
        <v>109</v>
      </c>
      <c r="C8" s="51">
        <v>1</v>
      </c>
      <c r="D8" s="51">
        <v>2</v>
      </c>
      <c r="E8" s="45"/>
      <c r="F8" s="45"/>
      <c r="G8" s="45"/>
      <c r="H8" s="51">
        <v>2</v>
      </c>
      <c r="I8" s="46">
        <f>'[4]Ingredients costs'!J7</f>
        <v>12.384255782312925</v>
      </c>
      <c r="J8" s="50">
        <f>C8*$I8</f>
        <v>12.384255782312925</v>
      </c>
      <c r="K8" s="50">
        <f>D8*$I8</f>
        <v>24.76851156462585</v>
      </c>
      <c r="L8" s="49"/>
      <c r="M8" s="49"/>
      <c r="N8" s="49"/>
      <c r="O8" s="50">
        <f>H8*$I8</f>
        <v>24.76851156462585</v>
      </c>
      <c r="Q8" s="71"/>
      <c r="R8" s="71"/>
    </row>
    <row r="9" spans="1:19" ht="12.75" customHeight="1">
      <c r="A9" s="111"/>
      <c r="B9" s="55" t="s">
        <v>108</v>
      </c>
      <c r="C9" s="45"/>
      <c r="D9" s="45"/>
      <c r="E9" s="45"/>
      <c r="F9" s="45"/>
      <c r="G9" s="45"/>
      <c r="H9" s="45"/>
      <c r="I9" s="59"/>
      <c r="J9" s="44">
        <f>J10+J11</f>
        <v>15.882260317460316</v>
      </c>
      <c r="K9" s="44">
        <f>K10+K11</f>
        <v>19.380264852607709</v>
      </c>
      <c r="L9" s="70"/>
      <c r="M9" s="49"/>
      <c r="N9" s="70"/>
      <c r="O9" s="44">
        <f>O10+O11</f>
        <v>31.764520634920633</v>
      </c>
      <c r="Q9" s="53" t="s">
        <v>107</v>
      </c>
      <c r="R9" s="53"/>
      <c r="S9" s="52"/>
    </row>
    <row r="10" spans="1:19">
      <c r="A10" s="111"/>
      <c r="B10" s="33" t="s">
        <v>106</v>
      </c>
      <c r="C10" s="51">
        <v>1</v>
      </c>
      <c r="D10" s="51">
        <v>1</v>
      </c>
      <c r="E10" s="45"/>
      <c r="F10" s="45"/>
      <c r="G10" s="45"/>
      <c r="H10" s="51">
        <v>2</v>
      </c>
      <c r="I10" s="46">
        <f>'[4]Ingredients costs'!J7</f>
        <v>12.384255782312925</v>
      </c>
      <c r="J10" s="50">
        <f t="shared" ref="J10:J18" si="0">C10*$I10</f>
        <v>12.384255782312925</v>
      </c>
      <c r="K10" s="50">
        <f t="shared" ref="K10:K18" si="1">D10*$I10</f>
        <v>12.384255782312925</v>
      </c>
      <c r="L10" s="49"/>
      <c r="M10" s="49"/>
      <c r="N10" s="49"/>
      <c r="O10" s="50">
        <f t="shared" ref="O10:O18" si="2">H10*$I10</f>
        <v>24.76851156462585</v>
      </c>
    </row>
    <row r="11" spans="1:19">
      <c r="A11" s="111"/>
      <c r="B11" s="33" t="s">
        <v>105</v>
      </c>
      <c r="C11" s="51">
        <v>1</v>
      </c>
      <c r="D11" s="51">
        <v>2</v>
      </c>
      <c r="E11" s="45"/>
      <c r="F11" s="45"/>
      <c r="G11" s="45"/>
      <c r="H11" s="51">
        <v>2</v>
      </c>
      <c r="I11" s="46">
        <f>'[4]Ingredients costs'!J8</f>
        <v>3.4980045351473916</v>
      </c>
      <c r="J11" s="50">
        <f t="shared" si="0"/>
        <v>3.4980045351473916</v>
      </c>
      <c r="K11" s="50">
        <f t="shared" si="1"/>
        <v>6.9960090702947832</v>
      </c>
      <c r="L11" s="49"/>
      <c r="M11" s="49"/>
      <c r="N11" s="49"/>
      <c r="O11" s="50">
        <f t="shared" si="2"/>
        <v>6.9960090702947832</v>
      </c>
    </row>
    <row r="12" spans="1:19" ht="29.25" customHeight="1">
      <c r="A12" s="111"/>
      <c r="B12" s="33" t="s">
        <v>104</v>
      </c>
      <c r="C12" s="47">
        <v>1</v>
      </c>
      <c r="D12" s="47">
        <v>1</v>
      </c>
      <c r="E12" s="45"/>
      <c r="F12" s="45"/>
      <c r="G12" s="45"/>
      <c r="H12" s="47">
        <v>2</v>
      </c>
      <c r="I12" s="46">
        <f>'[4]Ingredients costs'!J45</f>
        <v>327.27999999999997</v>
      </c>
      <c r="J12" s="44">
        <f t="shared" si="0"/>
        <v>327.27999999999997</v>
      </c>
      <c r="K12" s="44">
        <f t="shared" si="1"/>
        <v>327.27999999999997</v>
      </c>
      <c r="L12" s="49"/>
      <c r="M12" s="49"/>
      <c r="N12" s="49"/>
      <c r="O12" s="44">
        <f t="shared" si="2"/>
        <v>654.55999999999995</v>
      </c>
      <c r="Q12" s="29" t="s">
        <v>115</v>
      </c>
    </row>
    <row r="13" spans="1:19">
      <c r="A13" s="111"/>
      <c r="B13" s="33" t="s">
        <v>102</v>
      </c>
      <c r="C13" s="47">
        <v>2</v>
      </c>
      <c r="D13" s="47">
        <v>3</v>
      </c>
      <c r="E13" s="45"/>
      <c r="F13" s="45"/>
      <c r="G13" s="45"/>
      <c r="H13" s="47">
        <v>4</v>
      </c>
      <c r="I13" s="46">
        <f>'[4]Ingredients costs'!J36</f>
        <v>17.300804988662129</v>
      </c>
      <c r="J13" s="44">
        <f t="shared" si="0"/>
        <v>34.601609977324259</v>
      </c>
      <c r="K13" s="44">
        <f t="shared" si="1"/>
        <v>51.902414965986388</v>
      </c>
      <c r="L13" s="69"/>
      <c r="M13" s="69"/>
      <c r="N13" s="69"/>
      <c r="O13" s="44">
        <f t="shared" si="2"/>
        <v>69.203219954648517</v>
      </c>
    </row>
    <row r="14" spans="1:19">
      <c r="A14" s="111"/>
      <c r="B14" s="48" t="s">
        <v>101</v>
      </c>
      <c r="C14" s="47">
        <v>0</v>
      </c>
      <c r="D14" s="47">
        <v>0</v>
      </c>
      <c r="E14" s="45"/>
      <c r="F14" s="45"/>
      <c r="G14" s="45"/>
      <c r="H14" s="47">
        <v>0</v>
      </c>
      <c r="I14" s="46">
        <f>'[4]Ingredients costs'!J16</f>
        <v>100</v>
      </c>
      <c r="J14" s="63">
        <f t="shared" si="0"/>
        <v>0</v>
      </c>
      <c r="K14" s="63">
        <f t="shared" si="1"/>
        <v>0</v>
      </c>
      <c r="L14" s="49"/>
      <c r="M14" s="49"/>
      <c r="N14" s="49"/>
      <c r="O14" s="63">
        <f t="shared" si="2"/>
        <v>0</v>
      </c>
      <c r="Q14" s="22" t="s">
        <v>114</v>
      </c>
      <c r="R14" s="67"/>
    </row>
    <row r="15" spans="1:19">
      <c r="A15" s="111"/>
      <c r="B15" s="33" t="s">
        <v>99</v>
      </c>
      <c r="C15" s="47">
        <v>1</v>
      </c>
      <c r="D15" s="47">
        <v>1</v>
      </c>
      <c r="E15" s="45"/>
      <c r="F15" s="45"/>
      <c r="G15" s="45"/>
      <c r="H15" s="47">
        <v>2</v>
      </c>
      <c r="I15" s="46">
        <f>'[4]Ingredients costs'!J34</f>
        <v>110</v>
      </c>
      <c r="J15" s="68">
        <f t="shared" si="0"/>
        <v>110</v>
      </c>
      <c r="K15" s="68">
        <f t="shared" si="1"/>
        <v>110</v>
      </c>
      <c r="L15" s="49"/>
      <c r="M15" s="49"/>
      <c r="N15" s="49"/>
      <c r="O15" s="44">
        <f t="shared" si="2"/>
        <v>220</v>
      </c>
      <c r="Q15" s="22" t="s">
        <v>98</v>
      </c>
      <c r="R15" s="67"/>
    </row>
    <row r="16" spans="1:19">
      <c r="A16" s="111"/>
      <c r="B16" s="33" t="s">
        <v>97</v>
      </c>
      <c r="C16" s="47">
        <v>1</v>
      </c>
      <c r="D16" s="47">
        <v>1</v>
      </c>
      <c r="E16" s="45"/>
      <c r="F16" s="45"/>
      <c r="G16" s="45"/>
      <c r="H16" s="47">
        <v>2</v>
      </c>
      <c r="I16" s="46">
        <f>'[4]Ingredients costs'!J38</f>
        <v>132.96360997732427</v>
      </c>
      <c r="J16" s="44">
        <f t="shared" si="0"/>
        <v>132.96360997732427</v>
      </c>
      <c r="K16" s="44">
        <f t="shared" si="1"/>
        <v>132.96360997732427</v>
      </c>
      <c r="L16" s="49"/>
      <c r="M16" s="49"/>
      <c r="N16" s="49"/>
      <c r="O16" s="44">
        <f t="shared" si="2"/>
        <v>265.92721995464854</v>
      </c>
      <c r="Q16" s="22" t="s">
        <v>96</v>
      </c>
      <c r="R16" s="67"/>
    </row>
    <row r="17" spans="1:19">
      <c r="A17" s="111"/>
      <c r="B17" s="48" t="s">
        <v>95</v>
      </c>
      <c r="C17" s="47">
        <v>1</v>
      </c>
      <c r="D17" s="47">
        <v>1</v>
      </c>
      <c r="E17" s="45"/>
      <c r="F17" s="45"/>
      <c r="G17" s="45"/>
      <c r="H17" s="47">
        <v>2</v>
      </c>
      <c r="I17" s="46">
        <f>'[4]Ingredients costs'!J39</f>
        <v>16.836609977324262</v>
      </c>
      <c r="J17" s="44">
        <f t="shared" si="0"/>
        <v>16.836609977324262</v>
      </c>
      <c r="K17" s="44">
        <f t="shared" si="1"/>
        <v>16.836609977324262</v>
      </c>
      <c r="L17" s="49"/>
      <c r="M17" s="49"/>
      <c r="N17" s="49"/>
      <c r="O17" s="44">
        <f t="shared" si="2"/>
        <v>33.673219954648523</v>
      </c>
      <c r="R17" s="66"/>
    </row>
    <row r="18" spans="1:19">
      <c r="A18" s="112"/>
      <c r="B18" s="33" t="s">
        <v>90</v>
      </c>
      <c r="C18" s="65"/>
      <c r="D18" s="65"/>
      <c r="E18" s="60"/>
      <c r="F18" s="45"/>
      <c r="G18" s="60"/>
      <c r="H18" s="65"/>
      <c r="I18" s="64"/>
      <c r="J18" s="63">
        <f t="shared" si="0"/>
        <v>0</v>
      </c>
      <c r="K18" s="63">
        <f t="shared" si="1"/>
        <v>0</v>
      </c>
      <c r="L18" s="49"/>
      <c r="M18" s="49"/>
      <c r="N18" s="49"/>
      <c r="O18" s="63">
        <f t="shared" si="2"/>
        <v>0</v>
      </c>
      <c r="Q18" s="26" t="s">
        <v>89</v>
      </c>
    </row>
    <row r="19" spans="1:19" ht="6.75" customHeight="1">
      <c r="A19" s="62"/>
      <c r="B19" s="61"/>
      <c r="C19" s="60"/>
      <c r="D19" s="60"/>
      <c r="E19" s="60"/>
      <c r="F19" s="45"/>
      <c r="G19" s="60"/>
      <c r="H19" s="60"/>
      <c r="I19" s="59"/>
      <c r="J19" s="49"/>
      <c r="K19" s="49"/>
      <c r="L19" s="49"/>
      <c r="M19" s="58"/>
      <c r="N19" s="58"/>
      <c r="O19" s="49"/>
    </row>
    <row r="20" spans="1:19" ht="14.25" customHeight="1">
      <c r="A20" s="113" t="s">
        <v>113</v>
      </c>
      <c r="B20" s="57" t="s">
        <v>112</v>
      </c>
      <c r="C20" s="45"/>
      <c r="D20" s="45"/>
      <c r="E20" s="45"/>
      <c r="F20" s="45"/>
      <c r="G20" s="45"/>
      <c r="H20" s="45"/>
      <c r="I20" s="56"/>
      <c r="J20" s="44">
        <f>J21+J22</f>
        <v>22.57949387755102</v>
      </c>
      <c r="K20" s="44">
        <f>K21+K22</f>
        <v>47.34800544217687</v>
      </c>
      <c r="L20" s="49"/>
      <c r="M20" s="49"/>
      <c r="N20" s="49"/>
      <c r="O20" s="44">
        <f>O21+O22</f>
        <v>69.927499319727886</v>
      </c>
      <c r="Q20" s="53" t="s">
        <v>111</v>
      </c>
      <c r="R20" s="53"/>
      <c r="S20" s="52"/>
    </row>
    <row r="21" spans="1:19" ht="11.25" customHeight="1">
      <c r="A21" s="113"/>
      <c r="B21" s="33" t="s">
        <v>110</v>
      </c>
      <c r="C21" s="51">
        <v>1</v>
      </c>
      <c r="D21" s="51">
        <v>1</v>
      </c>
      <c r="E21" s="45"/>
      <c r="F21" s="45"/>
      <c r="G21" s="45"/>
      <c r="H21" s="51">
        <v>2</v>
      </c>
      <c r="I21" s="46">
        <f>'[4]Ingredients costs'!J6</f>
        <v>10.195238095238095</v>
      </c>
      <c r="J21" s="50">
        <f>C21*$I21</f>
        <v>10.195238095238095</v>
      </c>
      <c r="K21" s="50">
        <f>D21*$I21</f>
        <v>10.195238095238095</v>
      </c>
      <c r="L21" s="49"/>
      <c r="M21" s="49"/>
      <c r="N21" s="49"/>
      <c r="O21" s="50">
        <f>H21*$I21</f>
        <v>20.390476190476189</v>
      </c>
    </row>
    <row r="22" spans="1:19" ht="11.25" customHeight="1">
      <c r="A22" s="113"/>
      <c r="B22" s="33" t="s">
        <v>109</v>
      </c>
      <c r="C22" s="51">
        <v>1</v>
      </c>
      <c r="D22" s="51">
        <v>3</v>
      </c>
      <c r="E22" s="45"/>
      <c r="F22" s="45"/>
      <c r="G22" s="45"/>
      <c r="H22" s="51">
        <v>4</v>
      </c>
      <c r="I22" s="46">
        <f>'[4]Ingredients costs'!J7</f>
        <v>12.384255782312925</v>
      </c>
      <c r="J22" s="50">
        <f>C22*$I22</f>
        <v>12.384255782312925</v>
      </c>
      <c r="K22" s="50">
        <f>D22*$I22</f>
        <v>37.152767346938774</v>
      </c>
      <c r="L22" s="49"/>
      <c r="M22" s="49"/>
      <c r="N22" s="49"/>
      <c r="O22" s="50">
        <f>H22*$I22</f>
        <v>49.5370231292517</v>
      </c>
    </row>
    <row r="23" spans="1:19" ht="14.25" customHeight="1">
      <c r="A23" s="113"/>
      <c r="B23" s="55" t="s">
        <v>108</v>
      </c>
      <c r="C23" s="45"/>
      <c r="D23" s="45"/>
      <c r="E23" s="45"/>
      <c r="F23" s="45"/>
      <c r="G23" s="45"/>
      <c r="H23" s="45"/>
      <c r="I23" s="54"/>
      <c r="J23" s="44">
        <f>J24+J25</f>
        <v>15.882260317460316</v>
      </c>
      <c r="K23" s="44">
        <f>K24+K25</f>
        <v>22.8782693877551</v>
      </c>
      <c r="L23" s="49"/>
      <c r="M23" s="49"/>
      <c r="N23" s="49"/>
      <c r="O23" s="44">
        <f>O24+O25</f>
        <v>63.529041269841265</v>
      </c>
      <c r="Q23" s="53" t="s">
        <v>107</v>
      </c>
      <c r="R23" s="53"/>
      <c r="S23" s="52"/>
    </row>
    <row r="24" spans="1:19" ht="11.25" customHeight="1">
      <c r="A24" s="113"/>
      <c r="B24" s="33" t="s">
        <v>106</v>
      </c>
      <c r="C24" s="51">
        <v>1</v>
      </c>
      <c r="D24" s="51">
        <v>1</v>
      </c>
      <c r="E24" s="45"/>
      <c r="F24" s="45"/>
      <c r="G24" s="45"/>
      <c r="H24" s="51">
        <v>4</v>
      </c>
      <c r="I24" s="46">
        <f>'[4]Ingredients costs'!J7</f>
        <v>12.384255782312925</v>
      </c>
      <c r="J24" s="50">
        <f t="shared" ref="J24:K31" si="3">C24*$I24</f>
        <v>12.384255782312925</v>
      </c>
      <c r="K24" s="50">
        <f t="shared" si="3"/>
        <v>12.384255782312925</v>
      </c>
      <c r="L24" s="49"/>
      <c r="M24" s="49"/>
      <c r="N24" s="49"/>
      <c r="O24" s="50">
        <f t="shared" ref="O24:O31" si="4">H24*$I24</f>
        <v>49.5370231292517</v>
      </c>
    </row>
    <row r="25" spans="1:19" ht="11.25" customHeight="1">
      <c r="A25" s="113"/>
      <c r="B25" s="33" t="s">
        <v>105</v>
      </c>
      <c r="C25" s="51">
        <v>1</v>
      </c>
      <c r="D25" s="51">
        <v>3</v>
      </c>
      <c r="E25" s="45"/>
      <c r="F25" s="45"/>
      <c r="G25" s="45"/>
      <c r="H25" s="51">
        <v>4</v>
      </c>
      <c r="I25" s="46">
        <f>'[4]Ingredients costs'!J8</f>
        <v>3.4980045351473916</v>
      </c>
      <c r="J25" s="50">
        <f t="shared" si="3"/>
        <v>3.4980045351473916</v>
      </c>
      <c r="K25" s="50">
        <f t="shared" si="3"/>
        <v>10.494013605442175</v>
      </c>
      <c r="L25" s="49"/>
      <c r="M25" s="49"/>
      <c r="N25" s="49"/>
      <c r="O25" s="50">
        <f t="shared" si="4"/>
        <v>13.992018140589566</v>
      </c>
    </row>
    <row r="26" spans="1:19" ht="24" customHeight="1">
      <c r="A26" s="113"/>
      <c r="B26" s="33" t="s">
        <v>104</v>
      </c>
      <c r="C26" s="47">
        <v>1</v>
      </c>
      <c r="D26" s="47">
        <v>2</v>
      </c>
      <c r="E26" s="45"/>
      <c r="F26" s="45"/>
      <c r="G26" s="45"/>
      <c r="H26" s="47">
        <v>3</v>
      </c>
      <c r="I26" s="46">
        <f>'[4]Ingredients costs'!J45</f>
        <v>327.27999999999997</v>
      </c>
      <c r="J26" s="44">
        <f t="shared" si="3"/>
        <v>327.27999999999997</v>
      </c>
      <c r="K26" s="44">
        <f t="shared" si="3"/>
        <v>654.55999999999995</v>
      </c>
      <c r="L26" s="49"/>
      <c r="M26" s="49"/>
      <c r="N26" s="49"/>
      <c r="O26" s="44">
        <f t="shared" si="4"/>
        <v>981.83999999999992</v>
      </c>
      <c r="Q26" s="29" t="s">
        <v>103</v>
      </c>
    </row>
    <row r="27" spans="1:19">
      <c r="A27" s="113"/>
      <c r="B27" s="33" t="s">
        <v>102</v>
      </c>
      <c r="C27" s="47">
        <v>2</v>
      </c>
      <c r="D27" s="47">
        <v>4</v>
      </c>
      <c r="E27" s="45"/>
      <c r="F27" s="45"/>
      <c r="G27" s="45"/>
      <c r="H27" s="47">
        <v>6</v>
      </c>
      <c r="I27" s="46">
        <f>'[4]Ingredients costs'!J36</f>
        <v>17.300804988662129</v>
      </c>
      <c r="J27" s="44">
        <f t="shared" si="3"/>
        <v>34.601609977324259</v>
      </c>
      <c r="K27" s="44">
        <f t="shared" si="3"/>
        <v>69.203219954648517</v>
      </c>
      <c r="L27" s="49"/>
      <c r="M27" s="49"/>
      <c r="N27" s="49"/>
      <c r="O27" s="44">
        <f t="shared" si="4"/>
        <v>103.80482993197278</v>
      </c>
    </row>
    <row r="28" spans="1:19">
      <c r="A28" s="113"/>
      <c r="B28" s="48" t="s">
        <v>101</v>
      </c>
      <c r="C28" s="47">
        <v>1</v>
      </c>
      <c r="D28" s="47">
        <v>1</v>
      </c>
      <c r="E28" s="45"/>
      <c r="F28" s="45"/>
      <c r="G28" s="45"/>
      <c r="H28" s="47">
        <v>1</v>
      </c>
      <c r="I28" s="46">
        <f>'[4]Ingredients costs'!J16</f>
        <v>100</v>
      </c>
      <c r="J28" s="44">
        <f t="shared" si="3"/>
        <v>100</v>
      </c>
      <c r="K28" s="44">
        <f t="shared" si="3"/>
        <v>100</v>
      </c>
      <c r="L28" s="49"/>
      <c r="M28" s="49"/>
      <c r="N28" s="49"/>
      <c r="O28" s="44">
        <f t="shared" si="4"/>
        <v>100</v>
      </c>
      <c r="Q28" s="22" t="s">
        <v>100</v>
      </c>
    </row>
    <row r="29" spans="1:19">
      <c r="A29" s="113"/>
      <c r="B29" s="33" t="s">
        <v>99</v>
      </c>
      <c r="C29" s="47">
        <v>1</v>
      </c>
      <c r="D29" s="47">
        <v>2</v>
      </c>
      <c r="E29" s="45"/>
      <c r="F29" s="45"/>
      <c r="G29" s="45"/>
      <c r="H29" s="47">
        <v>2</v>
      </c>
      <c r="I29" s="46">
        <f>'[4]Ingredients costs'!J34</f>
        <v>110</v>
      </c>
      <c r="J29" s="44">
        <f t="shared" si="3"/>
        <v>110</v>
      </c>
      <c r="K29" s="44">
        <f t="shared" si="3"/>
        <v>220</v>
      </c>
      <c r="L29" s="49"/>
      <c r="M29" s="49"/>
      <c r="N29" s="49"/>
      <c r="O29" s="44">
        <f t="shared" si="4"/>
        <v>220</v>
      </c>
      <c r="Q29" s="22" t="s">
        <v>98</v>
      </c>
    </row>
    <row r="30" spans="1:19">
      <c r="A30" s="113"/>
      <c r="B30" s="33" t="s">
        <v>97</v>
      </c>
      <c r="C30" s="47">
        <v>1</v>
      </c>
      <c r="D30" s="47">
        <v>2</v>
      </c>
      <c r="E30" s="45"/>
      <c r="F30" s="45"/>
      <c r="G30" s="45"/>
      <c r="H30" s="47">
        <v>4</v>
      </c>
      <c r="I30" s="46">
        <f>'[4]Ingredients costs'!J38</f>
        <v>132.96360997732427</v>
      </c>
      <c r="J30" s="44">
        <f t="shared" si="3"/>
        <v>132.96360997732427</v>
      </c>
      <c r="K30" s="44">
        <f t="shared" si="3"/>
        <v>265.92721995464854</v>
      </c>
      <c r="L30" s="45"/>
      <c r="M30" s="45"/>
      <c r="N30" s="45"/>
      <c r="O30" s="44">
        <f t="shared" si="4"/>
        <v>531.85443990929707</v>
      </c>
      <c r="Q30" s="22" t="s">
        <v>96</v>
      </c>
    </row>
    <row r="31" spans="1:19">
      <c r="A31" s="113"/>
      <c r="B31" s="48" t="s">
        <v>95</v>
      </c>
      <c r="C31" s="47">
        <v>1</v>
      </c>
      <c r="D31" s="47">
        <v>2</v>
      </c>
      <c r="E31" s="45"/>
      <c r="F31" s="45"/>
      <c r="G31" s="45"/>
      <c r="H31" s="47">
        <v>4</v>
      </c>
      <c r="I31" s="46">
        <f>'[4]Ingredients costs'!J39</f>
        <v>16.836609977324262</v>
      </c>
      <c r="J31" s="44">
        <f t="shared" si="3"/>
        <v>16.836609977324262</v>
      </c>
      <c r="K31" s="44">
        <f t="shared" si="3"/>
        <v>33.673219954648523</v>
      </c>
      <c r="L31" s="45"/>
      <c r="M31" s="45"/>
      <c r="N31" s="45"/>
      <c r="O31" s="44">
        <f t="shared" si="4"/>
        <v>67.346439909297047</v>
      </c>
    </row>
    <row r="32" spans="1:19" s="36" customFormat="1" ht="33">
      <c r="A32" s="113"/>
      <c r="B32" s="43" t="s">
        <v>94</v>
      </c>
      <c r="C32" s="42" t="s">
        <v>93</v>
      </c>
      <c r="D32" s="42" t="s">
        <v>92</v>
      </c>
      <c r="E32" s="41"/>
      <c r="F32" s="38"/>
      <c r="G32" s="38"/>
      <c r="H32" s="40" t="s">
        <v>91</v>
      </c>
      <c r="I32" s="39"/>
      <c r="J32" s="30"/>
      <c r="K32" s="30"/>
      <c r="L32" s="38"/>
      <c r="M32" s="38"/>
      <c r="N32" s="38"/>
      <c r="O32" s="30"/>
      <c r="Q32" s="37"/>
      <c r="R32" s="37"/>
    </row>
    <row r="33" spans="1:18">
      <c r="A33" s="113"/>
      <c r="B33" s="33" t="s">
        <v>90</v>
      </c>
      <c r="C33" s="35"/>
      <c r="D33" s="34"/>
      <c r="E33" s="31"/>
      <c r="F33" s="32"/>
      <c r="G33" s="31"/>
      <c r="H33" s="34"/>
      <c r="I33" s="33"/>
      <c r="J33" s="30">
        <f>C33*$I33</f>
        <v>0</v>
      </c>
      <c r="K33" s="30">
        <f>D33*$I33</f>
        <v>0</v>
      </c>
      <c r="L33" s="31"/>
      <c r="M33" s="32"/>
      <c r="N33" s="31"/>
      <c r="O33" s="30">
        <f>H33*$I33</f>
        <v>0</v>
      </c>
      <c r="Q33" s="26" t="s">
        <v>89</v>
      </c>
    </row>
    <row r="34" spans="1:18">
      <c r="R34" s="29"/>
    </row>
    <row r="35" spans="1:18">
      <c r="B35" s="28" t="s">
        <v>88</v>
      </c>
      <c r="Q35" s="27"/>
    </row>
    <row r="36" spans="1:18">
      <c r="B36" s="26" t="s">
        <v>87</v>
      </c>
      <c r="Q36" s="26"/>
    </row>
    <row r="37" spans="1:18">
      <c r="B37" s="26" t="s">
        <v>86</v>
      </c>
      <c r="I37" s="21" t="s">
        <v>133</v>
      </c>
      <c r="J37" s="88">
        <f>SUM(J6,J12:J13,J15:J17)</f>
        <v>644.2613238095239</v>
      </c>
      <c r="K37" s="88">
        <f>SUM(K6,K12:K13,K15:K17)</f>
        <v>673.94638458049894</v>
      </c>
      <c r="O37" s="88">
        <f>SUM(O6,O12:O13,O15:O17)</f>
        <v>1288.5226476190478</v>
      </c>
    </row>
    <row r="38" spans="1:18">
      <c r="B38" s="25" t="s">
        <v>85</v>
      </c>
      <c r="I38" s="21" t="s">
        <v>134</v>
      </c>
      <c r="J38" s="88">
        <f>SUM(J9,J12:J13,J15:J17)</f>
        <v>637.56409024943309</v>
      </c>
      <c r="K38" s="88">
        <f>SUM(K9,K12:K13,K15:K17)</f>
        <v>658.36289977324259</v>
      </c>
      <c r="O38" s="88">
        <f>SUM(O9,O12:O13,O15:O17)</f>
        <v>1275.1281804988662</v>
      </c>
    </row>
    <row r="39" spans="1:18">
      <c r="I39" s="21" t="s">
        <v>133</v>
      </c>
      <c r="J39" s="88">
        <f>SUM(J20,J26:J31)</f>
        <v>744.2613238095239</v>
      </c>
      <c r="K39" s="88">
        <f>SUM(K20,K26:K31)</f>
        <v>1390.7116653061225</v>
      </c>
      <c r="O39" s="88">
        <f>SUM(O20,O26:O31)</f>
        <v>2074.7732090702948</v>
      </c>
    </row>
    <row r="40" spans="1:18">
      <c r="I40" s="21" t="s">
        <v>134</v>
      </c>
      <c r="J40" s="88">
        <f>SUM(J23,J26:J31)</f>
        <v>737.56409024943309</v>
      </c>
      <c r="K40" s="88">
        <f>SUM(K23,K26:K31)</f>
        <v>1366.2419292517006</v>
      </c>
      <c r="O40" s="88">
        <f>SUM(O23,O26:O31)</f>
        <v>2068.374751020408</v>
      </c>
    </row>
    <row r="42" spans="1:18">
      <c r="J42" s="24"/>
    </row>
    <row r="45" spans="1:18">
      <c r="J45" s="23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targeting</vt:lpstr>
      <vt:lpstr>Spending data</vt:lpstr>
      <vt:lpstr>Program effects</vt:lpstr>
      <vt:lpstr>#ignore - misc calcs</vt:lpstr>
      <vt:lpstr>#ignore - summary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2019-01-14T14:21:55Z</dcterms:modified>
  <cp:category>atomica:progbook</cp:category>
</cp:coreProperties>
</file>