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cascade-analyses/hiv-southafrica/"/>
    </mc:Choice>
  </mc:AlternateContent>
  <xr:revisionPtr revIDLastSave="0" documentId="13_ncr:1_{F4F32C29-2FF7-784C-9E94-1BE936293755}" xr6:coauthVersionLast="36" xr6:coauthVersionMax="36" xr10:uidLastSave="{00000000-0000-0000-0000-000000000000}"/>
  <bookViews>
    <workbookView xWindow="1020" yWindow="460" windowWidth="25600" windowHeight="15900" activeTab="2" xr2:uid="{00000000-000D-0000-FFFF-FFFF00000000}"/>
  </bookViews>
  <sheets>
    <sheet name="Population Definitions" sheetId="1" r:id="rId1"/>
    <sheet name="Stocks" sheetId="2" r:id="rId2"/>
    <sheet name="Flows" sheetId="3" r:id="rId3"/>
    <sheet name="#ignore - Misc calcs" sheetId="4" r:id="rId4"/>
    <sheet name="#ignore - 2016 cascade" sheetId="5" r:id="rId5"/>
  </sheets>
  <calcPr calcId="162913"/>
</workbook>
</file>

<file path=xl/calcChain.xml><?xml version="1.0" encoding="utf-8"?>
<calcChain xmlns="http://schemas.openxmlformats.org/spreadsheetml/2006/main">
  <c r="C179" i="3" l="1"/>
  <c r="C178" i="3"/>
  <c r="C177" i="3"/>
  <c r="C176" i="3"/>
  <c r="C175" i="3"/>
  <c r="C174" i="3"/>
  <c r="C173" i="3"/>
  <c r="C172" i="3"/>
  <c r="C171" i="3"/>
  <c r="C170" i="3"/>
  <c r="E29" i="2"/>
  <c r="G14" i="4"/>
  <c r="G13" i="4"/>
  <c r="G12" i="4"/>
  <c r="G11" i="4"/>
  <c r="G10" i="4"/>
  <c r="G9" i="4"/>
  <c r="G8" i="4"/>
  <c r="G7" i="4"/>
  <c r="G6" i="4"/>
  <c r="G5" i="4"/>
  <c r="H14" i="4"/>
  <c r="H13" i="4"/>
  <c r="H12" i="4"/>
  <c r="H11" i="4"/>
  <c r="H10" i="4"/>
  <c r="H9" i="4"/>
  <c r="H8" i="4"/>
  <c r="H7" i="4"/>
  <c r="H6" i="4"/>
  <c r="H5" i="4"/>
  <c r="I14" i="4"/>
  <c r="I13" i="4"/>
  <c r="I12" i="4"/>
  <c r="I11" i="4"/>
  <c r="I10" i="4"/>
  <c r="I9" i="4"/>
  <c r="I8" i="4"/>
  <c r="I7" i="4"/>
  <c r="I6" i="4"/>
  <c r="I5" i="4"/>
  <c r="E47" i="2" l="1"/>
  <c r="E46" i="2"/>
  <c r="E45" i="2"/>
  <c r="E44" i="2"/>
  <c r="E43" i="2"/>
  <c r="E42" i="2"/>
  <c r="E41" i="2"/>
  <c r="E40" i="2"/>
  <c r="E39" i="2"/>
  <c r="E38" i="2"/>
  <c r="E59" i="2"/>
  <c r="E58" i="2"/>
  <c r="E57" i="2"/>
  <c r="E56" i="2"/>
  <c r="E55" i="2"/>
  <c r="E54" i="2"/>
  <c r="E53" i="2"/>
  <c r="E52" i="2"/>
  <c r="E51" i="2"/>
  <c r="E50" i="2"/>
  <c r="E35" i="2"/>
  <c r="E34" i="2"/>
  <c r="E33" i="2"/>
  <c r="E32" i="2"/>
  <c r="E31" i="2"/>
  <c r="E30" i="2"/>
  <c r="E28" i="2"/>
  <c r="E27" i="2"/>
  <c r="E26" i="2"/>
  <c r="E107" i="3"/>
  <c r="E106" i="3"/>
  <c r="E105" i="3"/>
  <c r="E104" i="3"/>
  <c r="E103" i="3"/>
  <c r="E102" i="3"/>
  <c r="E101" i="3"/>
  <c r="E100" i="3"/>
  <c r="E99" i="3"/>
  <c r="E98" i="3"/>
  <c r="E83" i="3"/>
  <c r="E82" i="3"/>
  <c r="E81" i="3"/>
  <c r="E80" i="3"/>
  <c r="E79" i="3"/>
  <c r="E78" i="3"/>
  <c r="E77" i="3"/>
  <c r="E76" i="3"/>
  <c r="E75" i="3"/>
  <c r="E74" i="3"/>
  <c r="E59" i="3"/>
  <c r="E58" i="3"/>
  <c r="E57" i="3"/>
  <c r="E56" i="3"/>
  <c r="E55" i="3"/>
  <c r="E54" i="3"/>
  <c r="E53" i="3"/>
  <c r="E52" i="3"/>
  <c r="E51" i="3"/>
  <c r="E50" i="3"/>
  <c r="E23" i="3"/>
  <c r="E22" i="3"/>
  <c r="E21" i="3"/>
  <c r="E20" i="3"/>
  <c r="E19" i="3"/>
  <c r="E18" i="3"/>
  <c r="E17" i="3"/>
  <c r="E16" i="3"/>
  <c r="E15" i="3"/>
  <c r="E14" i="3"/>
  <c r="P50" i="4"/>
  <c r="P49" i="4"/>
  <c r="P48" i="4"/>
  <c r="P47" i="4"/>
  <c r="P46" i="4"/>
  <c r="P45" i="4"/>
  <c r="P44" i="4"/>
  <c r="P43" i="4"/>
  <c r="P42" i="4"/>
  <c r="P41" i="4"/>
  <c r="P40" i="4"/>
  <c r="O50" i="4"/>
  <c r="E11" i="2"/>
  <c r="E10" i="2"/>
  <c r="E9" i="2"/>
  <c r="E8" i="2"/>
  <c r="E7" i="2"/>
  <c r="E6" i="2"/>
  <c r="E5" i="2"/>
  <c r="E4" i="2"/>
  <c r="E3" i="2"/>
  <c r="O32" i="4"/>
  <c r="O31" i="4"/>
  <c r="O30" i="4"/>
  <c r="O29" i="4"/>
  <c r="O28" i="4"/>
  <c r="O27" i="4"/>
  <c r="O26" i="4"/>
  <c r="O25" i="4"/>
  <c r="O24" i="4"/>
  <c r="O23" i="4"/>
  <c r="E2" i="2"/>
  <c r="Z34" i="4"/>
  <c r="I42" i="4"/>
  <c r="J42" i="4" s="1"/>
  <c r="K42" i="4" s="1"/>
  <c r="I41" i="4"/>
  <c r="J41" i="4" s="1"/>
  <c r="K41" i="4" s="1"/>
  <c r="P31" i="4" s="1"/>
  <c r="I40" i="4"/>
  <c r="J40" i="4" s="1"/>
  <c r="K40" i="4" s="1"/>
  <c r="V34" i="4" s="1"/>
  <c r="W34" i="4" s="1"/>
  <c r="Z32" i="4" s="1"/>
  <c r="I39" i="4"/>
  <c r="J39" i="4" s="1"/>
  <c r="K39" i="4" s="1"/>
  <c r="I38" i="4"/>
  <c r="J38" i="4" s="1"/>
  <c r="K38" i="4" s="1"/>
  <c r="V32" i="4" s="1"/>
  <c r="W32" i="4" s="1"/>
  <c r="I35" i="4"/>
  <c r="J35" i="4" s="1"/>
  <c r="K35" i="4" s="1"/>
  <c r="I33" i="4"/>
  <c r="J33" i="4" s="1"/>
  <c r="K33" i="4" s="1"/>
  <c r="I31" i="4"/>
  <c r="J31" i="4" s="1"/>
  <c r="K31" i="4" s="1"/>
  <c r="I29" i="4"/>
  <c r="J29" i="4" s="1"/>
  <c r="K29" i="4" s="1"/>
  <c r="I27" i="4"/>
  <c r="J27" i="4" s="1"/>
  <c r="K27" i="4" s="1"/>
  <c r="I25" i="4"/>
  <c r="J25" i="4" s="1"/>
  <c r="K25" i="4" s="1"/>
  <c r="H72" i="4"/>
  <c r="I44" i="4" s="1"/>
  <c r="J44" i="4" s="1"/>
  <c r="K44" i="4" s="1"/>
  <c r="H69" i="4"/>
  <c r="I43" i="4" s="1"/>
  <c r="J43" i="4" s="1"/>
  <c r="K43" i="4" s="1"/>
  <c r="H66" i="4"/>
  <c r="H65" i="4"/>
  <c r="I36" i="4" s="1"/>
  <c r="J36" i="4" s="1"/>
  <c r="K36" i="4" s="1"/>
  <c r="H64" i="4"/>
  <c r="I34" i="4" s="1"/>
  <c r="J34" i="4" s="1"/>
  <c r="K34" i="4" s="1"/>
  <c r="H63" i="4"/>
  <c r="I37" i="4" s="1"/>
  <c r="J37" i="4" s="1"/>
  <c r="K37" i="4" s="1"/>
  <c r="V31" i="4" s="1"/>
  <c r="W31" i="4" s="1"/>
  <c r="H62" i="4"/>
  <c r="H61" i="4"/>
  <c r="H60" i="4"/>
  <c r="I32" i="4" s="1"/>
  <c r="J32" i="4" s="1"/>
  <c r="K32" i="4" s="1"/>
  <c r="H59" i="4"/>
  <c r="I30" i="4" s="1"/>
  <c r="J30" i="4" s="1"/>
  <c r="K30" i="4" s="1"/>
  <c r="H58" i="4"/>
  <c r="H57" i="4"/>
  <c r="H56" i="4"/>
  <c r="I28" i="4" s="1"/>
  <c r="J28" i="4" s="1"/>
  <c r="K28" i="4" s="1"/>
  <c r="H55" i="4"/>
  <c r="I26" i="4" s="1"/>
  <c r="J26" i="4" s="1"/>
  <c r="K26" i="4" s="1"/>
  <c r="H54" i="4"/>
  <c r="H53" i="4"/>
  <c r="H52" i="4"/>
  <c r="H50" i="4"/>
  <c r="I24" i="4" s="1"/>
  <c r="J24" i="4" s="1"/>
  <c r="K24" i="4" s="1"/>
  <c r="H49" i="4"/>
  <c r="H48" i="4"/>
  <c r="H47" i="4"/>
  <c r="I23" i="4" s="1"/>
  <c r="J23" i="4" s="1"/>
  <c r="K23" i="4" s="1"/>
  <c r="O33" i="4" l="1"/>
  <c r="P25" i="4"/>
  <c r="V25" i="4"/>
  <c r="W25" i="4" s="1"/>
  <c r="Z25" i="4" s="1"/>
  <c r="P29" i="4"/>
  <c r="V29" i="4"/>
  <c r="W29" i="4" s="1"/>
  <c r="Z29" i="4" s="1"/>
  <c r="P26" i="4"/>
  <c r="V26" i="4"/>
  <c r="W26" i="4" s="1"/>
  <c r="Z26" i="4" s="1"/>
  <c r="P27" i="4"/>
  <c r="V27" i="4"/>
  <c r="W27" i="4" s="1"/>
  <c r="Z27" i="4" s="1"/>
  <c r="P32" i="4"/>
  <c r="V24" i="4"/>
  <c r="W24" i="4" s="1"/>
  <c r="Z24" i="4" s="1"/>
  <c r="P24" i="4"/>
  <c r="P28" i="4"/>
  <c r="V28" i="4"/>
  <c r="W28" i="4" s="1"/>
  <c r="Z28" i="4" s="1"/>
  <c r="V23" i="4"/>
  <c r="W23" i="4" s="1"/>
  <c r="Z23" i="4" s="1"/>
  <c r="P23" i="4"/>
  <c r="V30" i="4"/>
  <c r="W30" i="4" s="1"/>
  <c r="Z30" i="4" s="1"/>
  <c r="P30" i="4"/>
  <c r="V33" i="4"/>
  <c r="W33" i="4" s="1"/>
  <c r="Z31" i="4" s="1"/>
  <c r="E3" i="3"/>
  <c r="E2" i="3"/>
  <c r="Z33" i="4" l="1"/>
  <c r="AA25" i="4" s="1"/>
  <c r="E88" i="2" s="1"/>
  <c r="P33" i="4"/>
  <c r="AA23" i="4"/>
  <c r="H14" i="5"/>
  <c r="H13" i="5"/>
  <c r="H12" i="5"/>
  <c r="H11" i="5"/>
  <c r="H10" i="5"/>
  <c r="H9" i="5"/>
  <c r="H8" i="5"/>
  <c r="H7" i="5"/>
  <c r="H6" i="5"/>
  <c r="H5" i="5"/>
  <c r="G14" i="5"/>
  <c r="G13" i="5"/>
  <c r="G12" i="5"/>
  <c r="G11" i="5"/>
  <c r="G10" i="5"/>
  <c r="G9" i="5"/>
  <c r="G8" i="5"/>
  <c r="G7" i="5"/>
  <c r="G6" i="5"/>
  <c r="G5" i="5"/>
  <c r="F14" i="5"/>
  <c r="F13" i="5"/>
  <c r="F12" i="5"/>
  <c r="F11" i="5"/>
  <c r="F10" i="5"/>
  <c r="F9" i="5"/>
  <c r="F8" i="5"/>
  <c r="F7" i="5"/>
  <c r="F6" i="5"/>
  <c r="F5" i="5"/>
  <c r="E14" i="5"/>
  <c r="E13" i="5"/>
  <c r="E12" i="5"/>
  <c r="E11" i="5"/>
  <c r="E10" i="5"/>
  <c r="E9" i="5"/>
  <c r="E8" i="5"/>
  <c r="E7" i="5"/>
  <c r="E6" i="5"/>
  <c r="E5" i="5"/>
  <c r="D14" i="5"/>
  <c r="D13" i="5"/>
  <c r="D12" i="5"/>
  <c r="D11" i="5"/>
  <c r="D10" i="5"/>
  <c r="D9" i="5"/>
  <c r="D8" i="5"/>
  <c r="D7" i="5"/>
  <c r="D6" i="5"/>
  <c r="D5" i="5"/>
  <c r="C14" i="5"/>
  <c r="C13" i="5"/>
  <c r="C12" i="5"/>
  <c r="C11" i="5"/>
  <c r="C10" i="5"/>
  <c r="C9" i="5"/>
  <c r="C8" i="5"/>
  <c r="C7" i="5"/>
  <c r="C6" i="5"/>
  <c r="C5" i="5"/>
  <c r="B14" i="5"/>
  <c r="B13" i="5"/>
  <c r="B12" i="5"/>
  <c r="B11" i="5"/>
  <c r="B10" i="5"/>
  <c r="B9" i="5"/>
  <c r="B8" i="5"/>
  <c r="B7" i="5"/>
  <c r="B6" i="5"/>
  <c r="B5" i="5"/>
  <c r="AA28" i="4" l="1"/>
  <c r="AA26" i="4"/>
  <c r="E89" i="2" s="1"/>
  <c r="AA24" i="4"/>
  <c r="AA32" i="4"/>
  <c r="AA31" i="4"/>
  <c r="E94" i="2" s="1"/>
  <c r="AA30" i="4"/>
  <c r="E93" i="2" s="1"/>
  <c r="AA27" i="4"/>
  <c r="AA29" i="4"/>
  <c r="AC29" i="4" s="1"/>
  <c r="Q29" i="4"/>
  <c r="Q31" i="4"/>
  <c r="Q23" i="4"/>
  <c r="AC23" i="4" s="1"/>
  <c r="Q26" i="4"/>
  <c r="Q25" i="4"/>
  <c r="Q24" i="4"/>
  <c r="AC24" i="4" s="1"/>
  <c r="Q27" i="4"/>
  <c r="AC27" i="4" s="1"/>
  <c r="Q32" i="4"/>
  <c r="Q30" i="4"/>
  <c r="Q28" i="4"/>
  <c r="AC28" i="4" s="1"/>
  <c r="D15" i="5"/>
  <c r="E90" i="2"/>
  <c r="E91" i="2"/>
  <c r="E95" i="2"/>
  <c r="E86" i="2"/>
  <c r="E87" i="2"/>
  <c r="F15" i="5"/>
  <c r="C15" i="5"/>
  <c r="G15" i="5"/>
  <c r="E15" i="5"/>
  <c r="H15" i="5"/>
  <c r="L3" i="4"/>
  <c r="L14" i="4" s="1"/>
  <c r="M3" i="4"/>
  <c r="K13" i="4"/>
  <c r="K12" i="4"/>
  <c r="K8" i="4"/>
  <c r="L10" i="4" l="1"/>
  <c r="E92" i="2"/>
  <c r="AC31" i="4"/>
  <c r="AA33" i="4"/>
  <c r="AC30" i="4"/>
  <c r="R32" i="4"/>
  <c r="E23" i="2"/>
  <c r="R26" i="4"/>
  <c r="E17" i="2"/>
  <c r="E18" i="2"/>
  <c r="R27" i="4"/>
  <c r="Q33" i="4"/>
  <c r="R23" i="4"/>
  <c r="E14" i="2"/>
  <c r="L9" i="4"/>
  <c r="AC32" i="4"/>
  <c r="AC26" i="4"/>
  <c r="R28" i="4"/>
  <c r="E19" i="2"/>
  <c r="E15" i="2"/>
  <c r="R24" i="4"/>
  <c r="E22" i="2"/>
  <c r="R31" i="4"/>
  <c r="R30" i="4"/>
  <c r="E21" i="2"/>
  <c r="E16" i="2"/>
  <c r="AC25" i="4"/>
  <c r="R25" i="4"/>
  <c r="E20" i="2"/>
  <c r="E32" i="3" s="1"/>
  <c r="R29" i="4"/>
  <c r="I15" i="4"/>
  <c r="K6" i="4"/>
  <c r="L6" i="4"/>
  <c r="L5" i="4"/>
  <c r="K7" i="4"/>
  <c r="L7" i="4"/>
  <c r="K11" i="4"/>
  <c r="L11" i="4"/>
  <c r="K9" i="4"/>
  <c r="K10" i="4"/>
  <c r="K14" i="4"/>
  <c r="M8" i="4"/>
  <c r="L12" i="4"/>
  <c r="M7" i="4"/>
  <c r="M14" i="4"/>
  <c r="L13" i="4"/>
  <c r="M11" i="4"/>
  <c r="M10" i="4"/>
  <c r="M13" i="4"/>
  <c r="M6" i="4"/>
  <c r="M9" i="4"/>
  <c r="M12" i="4"/>
  <c r="M5" i="4"/>
  <c r="L8" i="4"/>
  <c r="E33" i="3" l="1"/>
  <c r="E27" i="3"/>
  <c r="H15" i="4"/>
  <c r="E31" i="3"/>
  <c r="E35" i="3"/>
  <c r="E29" i="3"/>
  <c r="E28" i="3"/>
  <c r="E34" i="3"/>
  <c r="E26" i="3"/>
  <c r="E30" i="3"/>
  <c r="E224" i="3"/>
  <c r="E225" i="3"/>
  <c r="E63" i="2"/>
  <c r="E64" i="2"/>
  <c r="E80" i="2"/>
  <c r="E74" i="2"/>
  <c r="E81" i="2"/>
  <c r="E221" i="3"/>
  <c r="E76" i="2"/>
  <c r="E70" i="2"/>
  <c r="E78" i="2"/>
  <c r="E82" i="2"/>
  <c r="E75" i="2"/>
  <c r="E66" i="2"/>
  <c r="E223" i="3"/>
  <c r="E227" i="3"/>
  <c r="E77" i="2"/>
  <c r="E219" i="3"/>
  <c r="N12" i="4"/>
  <c r="P12" i="4" s="1"/>
  <c r="E79" i="2"/>
  <c r="E83" i="2"/>
  <c r="E71" i="3" s="1"/>
  <c r="E220" i="3"/>
  <c r="E226" i="3"/>
  <c r="E218" i="3"/>
  <c r="E222" i="3"/>
  <c r="E68" i="2"/>
  <c r="N7" i="4"/>
  <c r="R7" i="4" s="1"/>
  <c r="N14" i="4"/>
  <c r="R14" i="4" s="1"/>
  <c r="N10" i="4"/>
  <c r="R10" i="4" s="1"/>
  <c r="N9" i="4"/>
  <c r="R9" i="4" s="1"/>
  <c r="N6" i="4"/>
  <c r="R6" i="4" s="1"/>
  <c r="K5" i="4"/>
  <c r="K15" i="4" s="1"/>
  <c r="N11" i="4"/>
  <c r="R11" i="4" s="1"/>
  <c r="L15" i="4"/>
  <c r="N13" i="4"/>
  <c r="P13" i="4" s="1"/>
  <c r="N8" i="4"/>
  <c r="Q8" i="4" s="1"/>
  <c r="M15" i="4"/>
  <c r="E67" i="3" l="1"/>
  <c r="E65" i="3"/>
  <c r="E63" i="3"/>
  <c r="E64" i="3"/>
  <c r="E62" i="3"/>
  <c r="E70" i="3"/>
  <c r="E68" i="3"/>
  <c r="E66" i="3"/>
  <c r="E69" i="3"/>
  <c r="Q6" i="4"/>
  <c r="P7" i="4"/>
  <c r="Q7" i="4"/>
  <c r="Q12" i="4"/>
  <c r="G15" i="4"/>
  <c r="E62" i="2"/>
  <c r="E65" i="2"/>
  <c r="E71" i="2"/>
  <c r="E69" i="2"/>
  <c r="R12" i="4"/>
  <c r="E67" i="2"/>
  <c r="P14" i="4"/>
  <c r="Q14" i="4"/>
  <c r="P9" i="4"/>
  <c r="Q9" i="4"/>
  <c r="Q10" i="4"/>
  <c r="R13" i="4"/>
  <c r="P10" i="4"/>
  <c r="Q13" i="4"/>
  <c r="P6" i="4"/>
  <c r="N15" i="4"/>
  <c r="P15" i="4" s="1"/>
  <c r="Q11" i="4"/>
  <c r="P11" i="4"/>
  <c r="N5" i="4"/>
  <c r="P8" i="4"/>
  <c r="R8" i="4"/>
  <c r="A143" i="3"/>
  <c r="A142" i="3"/>
  <c r="A141" i="3"/>
  <c r="A140" i="3"/>
  <c r="A139" i="3"/>
  <c r="A138" i="3"/>
  <c r="A137" i="3"/>
  <c r="A136" i="3"/>
  <c r="A135" i="3"/>
  <c r="A134" i="3"/>
  <c r="A131" i="3"/>
  <c r="A130" i="3"/>
  <c r="A129" i="3"/>
  <c r="A128" i="3"/>
  <c r="A127" i="3"/>
  <c r="A126" i="3"/>
  <c r="A125" i="3"/>
  <c r="A124" i="3"/>
  <c r="A123" i="3"/>
  <c r="A122" i="3"/>
  <c r="A119" i="3"/>
  <c r="A118" i="3"/>
  <c r="A117" i="3"/>
  <c r="A116" i="3"/>
  <c r="A115" i="3"/>
  <c r="A114" i="3"/>
  <c r="A113" i="3"/>
  <c r="A112" i="3"/>
  <c r="A111" i="3"/>
  <c r="A110" i="3"/>
  <c r="Q15" i="4" l="1"/>
  <c r="R15" i="4"/>
  <c r="R5" i="4"/>
  <c r="Q5" i="4"/>
  <c r="P5" i="4"/>
  <c r="C47" i="3"/>
  <c r="C46" i="3"/>
  <c r="C45" i="3"/>
  <c r="C44" i="3"/>
  <c r="C43" i="3"/>
  <c r="C42" i="3"/>
  <c r="C41" i="3"/>
  <c r="C40" i="3"/>
  <c r="C39" i="3"/>
  <c r="C38" i="3"/>
  <c r="C189" i="3"/>
  <c r="C185" i="3"/>
  <c r="C191" i="3"/>
  <c r="C202" i="3"/>
  <c r="C201" i="3"/>
  <c r="C188" i="3"/>
  <c r="C187" i="3"/>
  <c r="C198" i="3"/>
  <c r="C197" i="3"/>
  <c r="C184" i="3"/>
  <c r="C195" i="3"/>
  <c r="C194" i="3"/>
  <c r="C199" i="3" l="1"/>
  <c r="C203" i="3"/>
  <c r="C182" i="3"/>
  <c r="C186" i="3"/>
  <c r="C190" i="3"/>
  <c r="C196" i="3"/>
  <c r="C200" i="3"/>
  <c r="C183" i="3"/>
  <c r="A227" i="3"/>
  <c r="A226" i="3"/>
  <c r="A225" i="3"/>
  <c r="A224" i="3"/>
  <c r="A223" i="3"/>
  <c r="A222" i="3"/>
  <c r="A221" i="3"/>
  <c r="A220" i="3"/>
  <c r="A219" i="3"/>
  <c r="A218" i="3"/>
  <c r="A215" i="3" l="1"/>
  <c r="A214" i="3"/>
  <c r="A213" i="3"/>
  <c r="A212" i="3"/>
  <c r="A211" i="3"/>
  <c r="A210" i="3"/>
  <c r="A209" i="3"/>
  <c r="A208" i="3"/>
  <c r="A207" i="3"/>
  <c r="A206" i="3"/>
  <c r="A203" i="3"/>
  <c r="A202" i="3"/>
  <c r="A201" i="3"/>
  <c r="A200" i="3"/>
  <c r="A199" i="3"/>
  <c r="A198" i="3"/>
  <c r="A197" i="3"/>
  <c r="A196" i="3"/>
  <c r="A195" i="3"/>
  <c r="A194" i="3"/>
  <c r="A191" i="3"/>
  <c r="A190" i="3"/>
  <c r="A189" i="3"/>
  <c r="A188" i="3"/>
  <c r="A187" i="3"/>
  <c r="A186" i="3"/>
  <c r="A185" i="3"/>
  <c r="A184" i="3"/>
  <c r="A183" i="3"/>
  <c r="A182" i="3"/>
  <c r="A179" i="3"/>
  <c r="A178" i="3"/>
  <c r="A177" i="3"/>
  <c r="A176" i="3"/>
  <c r="A175" i="3"/>
  <c r="A174" i="3"/>
  <c r="A173" i="3"/>
  <c r="A172" i="3"/>
  <c r="A171" i="3"/>
  <c r="A170" i="3"/>
  <c r="A167" i="3"/>
  <c r="A166" i="3"/>
  <c r="A165" i="3"/>
  <c r="A164" i="3"/>
  <c r="A163" i="3"/>
  <c r="A162" i="3"/>
  <c r="A161" i="3"/>
  <c r="A160" i="3"/>
  <c r="A159" i="3"/>
  <c r="A158" i="3"/>
  <c r="A155" i="3"/>
  <c r="A154" i="3"/>
  <c r="A153" i="3"/>
  <c r="A152" i="3"/>
  <c r="A151" i="3"/>
  <c r="A150" i="3"/>
  <c r="A149" i="3"/>
  <c r="A148" i="3"/>
  <c r="A147" i="3"/>
  <c r="A146" i="3"/>
  <c r="A107" i="3"/>
  <c r="A106" i="3"/>
  <c r="A105" i="3"/>
  <c r="A104" i="3"/>
  <c r="A103" i="3"/>
  <c r="A102" i="3"/>
  <c r="A101" i="3"/>
  <c r="A100" i="3"/>
  <c r="A99" i="3"/>
  <c r="A98" i="3"/>
  <c r="A95" i="3"/>
  <c r="A94" i="3"/>
  <c r="A93" i="3"/>
  <c r="A92" i="3"/>
  <c r="A91" i="3"/>
  <c r="A90" i="3"/>
  <c r="A89" i="3"/>
  <c r="A88" i="3"/>
  <c r="A87" i="3"/>
  <c r="A86" i="3"/>
  <c r="A83" i="3"/>
  <c r="A82" i="3"/>
  <c r="A81" i="3"/>
  <c r="A80" i="3"/>
  <c r="A79" i="3"/>
  <c r="A78" i="3"/>
  <c r="A77" i="3"/>
  <c r="A76" i="3"/>
  <c r="A75" i="3"/>
  <c r="A74" i="3"/>
  <c r="A71" i="3"/>
  <c r="A70" i="3"/>
  <c r="A69" i="3"/>
  <c r="A68" i="3"/>
  <c r="A67" i="3"/>
  <c r="A66" i="3"/>
  <c r="A65" i="3"/>
  <c r="A64" i="3"/>
  <c r="A63" i="3"/>
  <c r="A62" i="3"/>
  <c r="A59" i="3"/>
  <c r="A58" i="3"/>
  <c r="A57" i="3"/>
  <c r="A56" i="3"/>
  <c r="A55" i="3"/>
  <c r="A54" i="3"/>
  <c r="A53" i="3"/>
  <c r="A52" i="3"/>
  <c r="A51" i="3"/>
  <c r="A50" i="3"/>
  <c r="A47" i="3"/>
  <c r="A46" i="3"/>
  <c r="A45" i="3"/>
  <c r="A44" i="3"/>
  <c r="A43" i="3"/>
  <c r="A42" i="3"/>
  <c r="A41" i="3"/>
  <c r="A40" i="3"/>
  <c r="A39" i="3"/>
  <c r="A38" i="3"/>
  <c r="A35" i="3"/>
  <c r="A34" i="3"/>
  <c r="A33" i="3"/>
  <c r="A32" i="3"/>
  <c r="A31" i="3"/>
  <c r="A30" i="3"/>
  <c r="A29" i="3"/>
  <c r="A28" i="3"/>
  <c r="A27" i="3"/>
  <c r="A26" i="3"/>
  <c r="A23" i="3"/>
  <c r="A22" i="3"/>
  <c r="A21" i="3"/>
  <c r="A20" i="3"/>
  <c r="A19" i="3"/>
  <c r="A18" i="3"/>
  <c r="A17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A95" i="2"/>
  <c r="A94" i="2"/>
  <c r="A93" i="2"/>
  <c r="A92" i="2"/>
  <c r="A91" i="2"/>
  <c r="A90" i="2"/>
  <c r="A89" i="2"/>
  <c r="A88" i="2"/>
  <c r="A87" i="2"/>
  <c r="A86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59" i="2"/>
  <c r="A58" i="2"/>
  <c r="A57" i="2"/>
  <c r="A56" i="2"/>
  <c r="A55" i="2"/>
  <c r="A54" i="2"/>
  <c r="A53" i="2"/>
  <c r="A52" i="2"/>
  <c r="A51" i="2"/>
  <c r="A50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Stuart</author>
  </authors>
  <commentList>
    <comment ref="I22" authorId="0" shapeId="0" xr:uid="{2F733187-B6E3-EC47-AE14-2A4DE265F18C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http://www.statssa.gov.za/publications/P0302/P03022018.pdf</t>
        </r>
      </text>
    </comment>
    <comment ref="H46" authorId="0" shapeId="0" xr:uid="{015B21A3-E27F-FB48-B9B8-F8A06854252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http://www.statssa.gov.za/publications/P0302/P03022018.pdf</t>
        </r>
      </text>
    </comment>
  </commentList>
</comments>
</file>

<file path=xl/sharedStrings.xml><?xml version="1.0" encoding="utf-8"?>
<sst xmlns="http://schemas.openxmlformats.org/spreadsheetml/2006/main" count="786" uniqueCount="107">
  <si>
    <t>Abbreviation</t>
  </si>
  <si>
    <t>Full Name</t>
  </si>
  <si>
    <t>Population size</t>
  </si>
  <si>
    <t>Units</t>
  </si>
  <si>
    <t>Constant</t>
  </si>
  <si>
    <t>Number</t>
  </si>
  <si>
    <t>OR</t>
  </si>
  <si>
    <t>All PLHIV</t>
  </si>
  <si>
    <t>Aware of their status</t>
  </si>
  <si>
    <t>Baseine CD4 measured</t>
  </si>
  <si>
    <t>Ever in care</t>
  </si>
  <si>
    <t>Currently in care</t>
  </si>
  <si>
    <t>Currently treated</t>
  </si>
  <si>
    <t>Virally suppressed</t>
  </si>
  <si>
    <t>Annual number of births</t>
  </si>
  <si>
    <t>Number (per year)</t>
  </si>
  <si>
    <t>Annual number of tests done</t>
  </si>
  <si>
    <t>Annual percentage of those diagnosed who don't return for baseline CD4 test within 3 months</t>
  </si>
  <si>
    <t>Proportion</t>
  </si>
  <si>
    <t>Annual percentage lost to follow-up after baseline CD4 test</t>
  </si>
  <si>
    <t>Probability (per year)</t>
  </si>
  <si>
    <t>Annual number newly initiated onto treatment</t>
  </si>
  <si>
    <t>Annual percentage lost to follow-up from pre-ART care</t>
  </si>
  <si>
    <t>Annual percentage of those lost from ART relinked though tracing</t>
  </si>
  <si>
    <t>Annual percentage lost to follow-up from ART</t>
  </si>
  <si>
    <t>Time after initiating ART to achieve viral suppression (years)</t>
  </si>
  <si>
    <t>Duration (years)</t>
  </si>
  <si>
    <t>Treatment failure rate</t>
  </si>
  <si>
    <t>Death rate for those with untreated HIV</t>
  </si>
  <si>
    <t>Death rate for those with on unsuppressive ART</t>
  </si>
  <si>
    <t>Death rate for those with on suppressive ART</t>
  </si>
  <si>
    <t>Background mortality rate</t>
  </si>
  <si>
    <t>Males 0-14</t>
  </si>
  <si>
    <t>Females 0-14</t>
  </si>
  <si>
    <t>Males 15-24</t>
  </si>
  <si>
    <t>Females 15-24</t>
  </si>
  <si>
    <t>Males 25-34</t>
  </si>
  <si>
    <t>Females 25-34</t>
  </si>
  <si>
    <t>Males 35-49</t>
  </si>
  <si>
    <t>Females 35-49</t>
  </si>
  <si>
    <t>Males 50+</t>
  </si>
  <si>
    <t>Females 50+</t>
  </si>
  <si>
    <t>Number of AIDS deaths</t>
  </si>
  <si>
    <t>loss adjustment factor</t>
  </si>
  <si>
    <t>Reduction in transmissibility from being on treatment, not virally suppressed</t>
  </si>
  <si>
    <t>Reduction in transmissibility from being on virally suppressive treatment</t>
  </si>
  <si>
    <t>Probability</t>
  </si>
  <si>
    <t>PLHIV not on treatment</t>
  </si>
  <si>
    <t>New infections calculations</t>
  </si>
  <si>
    <t>PLHIV on treatment (not vs)</t>
  </si>
  <si>
    <t>PLHIV on treatment (vs)</t>
  </si>
  <si>
    <t>TOTAL</t>
  </si>
  <si>
    <t>Durations</t>
  </si>
  <si>
    <t>Annual number of new HIV infections</t>
  </si>
  <si>
    <t>Life expectancy with untreated HIV</t>
  </si>
  <si>
    <t>Duration</t>
  </si>
  <si>
    <t>15-24</t>
  </si>
  <si>
    <t>Males 15-19</t>
  </si>
  <si>
    <t>Females 15-19</t>
  </si>
  <si>
    <t>Males 20-24</t>
  </si>
  <si>
    <t>Females 20-24</t>
  </si>
  <si>
    <t>Males 25-29</t>
  </si>
  <si>
    <t>Females 25-29</t>
  </si>
  <si>
    <t>Males 30-34</t>
  </si>
  <si>
    <t>Females 30-34</t>
  </si>
  <si>
    <t>Males 35-39</t>
  </si>
  <si>
    <t>Females 35-39</t>
  </si>
  <si>
    <t>Males 40-44</t>
  </si>
  <si>
    <t>Females 40-44</t>
  </si>
  <si>
    <t>Males 45-49</t>
  </si>
  <si>
    <t>Females 45-49</t>
  </si>
  <si>
    <t>Males 50-54</t>
  </si>
  <si>
    <t>Females 50-54</t>
  </si>
  <si>
    <t>Males 55-59</t>
  </si>
  <si>
    <t>Females 55-59</t>
  </si>
  <si>
    <t>Males 60+</t>
  </si>
  <si>
    <t>Females 60+</t>
  </si>
  <si>
    <t>Prevalence 2017 (HSRC)</t>
  </si>
  <si>
    <t>Pop size</t>
  </si>
  <si>
    <t>Males 0-4</t>
  </si>
  <si>
    <t>Males 5-9</t>
  </si>
  <si>
    <t>Males 10-14</t>
  </si>
  <si>
    <t>Females 0-4</t>
  </si>
  <si>
    <t>Females 10-14</t>
  </si>
  <si>
    <t>Females 5-9</t>
  </si>
  <si>
    <t>Femles 20-24</t>
  </si>
  <si>
    <t>Pop size 2018</t>
  </si>
  <si>
    <t>Pop size 2017</t>
  </si>
  <si>
    <t>PLHIV 2017</t>
  </si>
  <si>
    <t>PLHIV 2017 scaled</t>
  </si>
  <si>
    <t>Should be:</t>
  </si>
  <si>
    <t>VLS prevalence</t>
  </si>
  <si>
    <t>Males 35-44</t>
  </si>
  <si>
    <t>Females 35-44</t>
  </si>
  <si>
    <t>VS 2017</t>
  </si>
  <si>
    <t>Num VS 2017</t>
  </si>
  <si>
    <t>VS 2017 scaled</t>
  </si>
  <si>
    <t>Treatment distribution</t>
  </si>
  <si>
    <t>Males</t>
  </si>
  <si>
    <t>Females</t>
  </si>
  <si>
    <t>0-14</t>
  </si>
  <si>
    <t>25-49</t>
  </si>
  <si>
    <t>50+</t>
  </si>
  <si>
    <t>Num PLH 2017</t>
  </si>
  <si>
    <t>Incidence 2016 estimates</t>
  </si>
  <si>
    <t>Incidence 2017 estimates</t>
  </si>
  <si>
    <t>2017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</si>
</sst>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k_r_._-;\-* #,##0.00\ _k_r_._-;_-* &quot;-&quot;??\ _k_r_._-;_-@_-"/>
    <numFmt numFmtId="165" formatCode="0.0"/>
    <numFmt numFmtId="169" formatCode="0.000%"/>
    <numFmt numFmtId="174" formatCode="_-* #,##0.000\ _k_r_._-;\-* #,##0.000\ _k_r_._-;_-* &quot;-&quot;??\ _k_r_.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3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3" fontId="0" fillId="0" borderId="0" xfId="0" applyNumberFormat="1"/>
    <xf numFmtId="0" fontId="1" fillId="0" borderId="0" xfId="0" applyFont="1"/>
    <xf numFmtId="9" fontId="0" fillId="3" borderId="2" xfId="0" applyNumberFormat="1" applyFill="1" applyBorder="1"/>
    <xf numFmtId="3" fontId="1" fillId="0" borderId="0" xfId="0" applyNumberFormat="1" applyFont="1"/>
    <xf numFmtId="9" fontId="0" fillId="0" borderId="0" xfId="2" applyFont="1"/>
    <xf numFmtId="165" fontId="0" fillId="3" borderId="2" xfId="1" applyNumberFormat="1" applyFont="1" applyFill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wrapText="1"/>
    </xf>
    <xf numFmtId="1" fontId="0" fillId="0" borderId="0" xfId="0" applyNumberFormat="1"/>
    <xf numFmtId="1" fontId="1" fillId="0" borderId="0" xfId="0" applyNumberFormat="1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10" fontId="1" fillId="0" borderId="0" xfId="0" applyNumberFormat="1" applyFont="1"/>
    <xf numFmtId="164" fontId="0" fillId="0" borderId="0" xfId="1" applyFont="1"/>
    <xf numFmtId="169" fontId="0" fillId="0" borderId="0" xfId="0" applyNumberFormat="1"/>
    <xf numFmtId="17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84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1"/>
  <sheetViews>
    <sheetView workbookViewId="0">
      <selection activeCell="A2" sqref="A2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32</v>
      </c>
      <c r="B2" s="2" t="s">
        <v>32</v>
      </c>
    </row>
    <row r="3" spans="1:2" x14ac:dyDescent="0.2">
      <c r="A3" s="2" t="s">
        <v>33</v>
      </c>
      <c r="B3" s="2" t="s">
        <v>33</v>
      </c>
    </row>
    <row r="4" spans="1:2" x14ac:dyDescent="0.2">
      <c r="A4" s="2" t="s">
        <v>34</v>
      </c>
      <c r="B4" s="2" t="s">
        <v>34</v>
      </c>
    </row>
    <row r="5" spans="1:2" x14ac:dyDescent="0.2">
      <c r="A5" s="2" t="s">
        <v>35</v>
      </c>
      <c r="B5" s="2" t="s">
        <v>35</v>
      </c>
    </row>
    <row r="6" spans="1:2" x14ac:dyDescent="0.2">
      <c r="A6" s="2" t="s">
        <v>36</v>
      </c>
      <c r="B6" s="2" t="s">
        <v>36</v>
      </c>
    </row>
    <row r="7" spans="1:2" x14ac:dyDescent="0.2">
      <c r="A7" s="2" t="s">
        <v>37</v>
      </c>
      <c r="B7" s="2" t="s">
        <v>37</v>
      </c>
    </row>
    <row r="8" spans="1:2" x14ac:dyDescent="0.2">
      <c r="A8" s="2" t="s">
        <v>38</v>
      </c>
      <c r="B8" s="2" t="s">
        <v>38</v>
      </c>
    </row>
    <row r="9" spans="1:2" x14ac:dyDescent="0.2">
      <c r="A9" s="2" t="s">
        <v>39</v>
      </c>
      <c r="B9" s="2" t="s">
        <v>39</v>
      </c>
    </row>
    <row r="10" spans="1:2" x14ac:dyDescent="0.2">
      <c r="A10" s="2" t="s">
        <v>40</v>
      </c>
      <c r="B10" s="2" t="s">
        <v>40</v>
      </c>
    </row>
    <row r="11" spans="1:2" x14ac:dyDescent="0.2">
      <c r="A11" s="2" t="s">
        <v>41</v>
      </c>
      <c r="B11" s="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95"/>
  <sheetViews>
    <sheetView zoomScale="125" workbookViewId="0">
      <selection activeCell="I27" sqref="I27"/>
    </sheetView>
  </sheetViews>
  <sheetFormatPr baseColWidth="10" defaultColWidth="8.83203125" defaultRowHeight="15" x14ac:dyDescent="0.2"/>
  <cols>
    <col min="1" max="1" width="18.83203125" bestFit="1" customWidth="1"/>
    <col min="2" max="2" width="7.33203125" bestFit="1" customWidth="1"/>
    <col min="3" max="3" width="10.5" customWidth="1"/>
    <col min="4" max="4" width="3.83203125" customWidth="1"/>
    <col min="5" max="6" width="9.1640625" bestFit="1" customWidth="1"/>
    <col min="9" max="9" width="18.5" customWidth="1"/>
    <col min="10" max="10" width="11.6640625" customWidth="1"/>
  </cols>
  <sheetData>
    <row r="1" spans="1:11" x14ac:dyDescent="0.2">
      <c r="A1" s="1" t="s">
        <v>2</v>
      </c>
      <c r="B1" s="1" t="s">
        <v>3</v>
      </c>
      <c r="C1" s="1" t="s">
        <v>4</v>
      </c>
      <c r="D1" s="1"/>
      <c r="E1" s="1">
        <v>2017</v>
      </c>
      <c r="F1" s="1">
        <v>2018</v>
      </c>
      <c r="G1" s="1">
        <v>2019</v>
      </c>
    </row>
    <row r="2" spans="1:11" x14ac:dyDescent="0.2">
      <c r="A2" s="1" t="str">
        <f>'Population Definitions'!$A$2</f>
        <v>Males 0-14</v>
      </c>
      <c r="B2" t="s">
        <v>5</v>
      </c>
      <c r="C2" s="2"/>
      <c r="D2" s="3" t="s">
        <v>6</v>
      </c>
      <c r="E2" s="5">
        <f>'#ignore - Misc calcs'!O23</f>
        <v>8326773</v>
      </c>
      <c r="F2" s="5"/>
      <c r="G2" s="2"/>
    </row>
    <row r="3" spans="1:11" x14ac:dyDescent="0.2">
      <c r="A3" s="1" t="str">
        <f>'Population Definitions'!$A$3</f>
        <v>Females 0-14</v>
      </c>
      <c r="B3" t="s">
        <v>5</v>
      </c>
      <c r="C3" s="2"/>
      <c r="D3" s="3" t="s">
        <v>6</v>
      </c>
      <c r="E3" s="5">
        <f>'#ignore - Misc calcs'!O24</f>
        <v>8301049</v>
      </c>
      <c r="F3" s="5"/>
      <c r="G3" s="2"/>
    </row>
    <row r="4" spans="1:11" x14ac:dyDescent="0.2">
      <c r="A4" s="1" t="str">
        <f>'Population Definitions'!$A$4</f>
        <v>Males 15-24</v>
      </c>
      <c r="B4" t="s">
        <v>5</v>
      </c>
      <c r="C4" s="2"/>
      <c r="D4" s="3" t="s">
        <v>6</v>
      </c>
      <c r="E4" s="5">
        <f>'#ignore - Misc calcs'!O25</f>
        <v>4733211</v>
      </c>
      <c r="F4" s="5"/>
      <c r="G4" s="2"/>
    </row>
    <row r="5" spans="1:11" x14ac:dyDescent="0.2">
      <c r="A5" s="1" t="str">
        <f>'Population Definitions'!$A$5</f>
        <v>Females 15-24</v>
      </c>
      <c r="B5" t="s">
        <v>5</v>
      </c>
      <c r="C5" s="2"/>
      <c r="D5" s="3" t="s">
        <v>6</v>
      </c>
      <c r="E5" s="5">
        <f>'#ignore - Misc calcs'!O26</f>
        <v>4781862</v>
      </c>
      <c r="F5" s="5"/>
      <c r="G5" s="2"/>
    </row>
    <row r="6" spans="1:11" x14ac:dyDescent="0.2">
      <c r="A6" s="1" t="str">
        <f>'Population Definitions'!$A$6</f>
        <v>Males 25-34</v>
      </c>
      <c r="B6" t="s">
        <v>5</v>
      </c>
      <c r="C6" s="2"/>
      <c r="D6" s="3" t="s">
        <v>6</v>
      </c>
      <c r="E6" s="5">
        <f>'#ignore - Misc calcs'!O27</f>
        <v>5332443</v>
      </c>
      <c r="F6" s="5"/>
      <c r="G6" s="2"/>
    </row>
    <row r="7" spans="1:11" x14ac:dyDescent="0.2">
      <c r="A7" s="1" t="str">
        <f>'Population Definitions'!$A$7</f>
        <v>Females 25-34</v>
      </c>
      <c r="B7" t="s">
        <v>5</v>
      </c>
      <c r="C7" s="2"/>
      <c r="D7" s="3" t="s">
        <v>6</v>
      </c>
      <c r="E7" s="5">
        <f>'#ignore - Misc calcs'!O28</f>
        <v>5235551</v>
      </c>
      <c r="F7" s="5"/>
      <c r="G7" s="2"/>
    </row>
    <row r="8" spans="1:11" x14ac:dyDescent="0.2">
      <c r="A8" s="1" t="str">
        <f>'Population Definitions'!$A$8</f>
        <v>Males 35-49</v>
      </c>
      <c r="B8" t="s">
        <v>5</v>
      </c>
      <c r="C8" s="2"/>
      <c r="D8" s="3" t="s">
        <v>6</v>
      </c>
      <c r="E8" s="5">
        <f>'#ignore - Misc calcs'!O29</f>
        <v>5237696</v>
      </c>
      <c r="F8" s="5"/>
      <c r="G8" s="2"/>
    </row>
    <row r="9" spans="1:11" x14ac:dyDescent="0.2">
      <c r="A9" s="1" t="str">
        <f>'Population Definitions'!$A$9</f>
        <v>Females 35-49</v>
      </c>
      <c r="B9" t="s">
        <v>5</v>
      </c>
      <c r="C9" s="2"/>
      <c r="D9" s="3" t="s">
        <v>6</v>
      </c>
      <c r="E9" s="5">
        <f>'#ignore - Misc calcs'!O30</f>
        <v>5223467</v>
      </c>
      <c r="F9" s="5"/>
      <c r="G9" s="2"/>
    </row>
    <row r="10" spans="1:11" x14ac:dyDescent="0.2">
      <c r="A10" s="1" t="str">
        <f>'Population Definitions'!$A$10</f>
        <v>Males 50+</v>
      </c>
      <c r="B10" t="s">
        <v>5</v>
      </c>
      <c r="C10" s="2"/>
      <c r="D10" s="3" t="s">
        <v>6</v>
      </c>
      <c r="E10" s="5">
        <f>'#ignore - Misc calcs'!O31</f>
        <v>3862660</v>
      </c>
      <c r="F10" s="5"/>
      <c r="G10" s="2"/>
    </row>
    <row r="11" spans="1:11" x14ac:dyDescent="0.2">
      <c r="A11" s="1" t="str">
        <f>'Population Definitions'!$A$11</f>
        <v>Females 50+</v>
      </c>
      <c r="B11" t="s">
        <v>5</v>
      </c>
      <c r="C11" s="2"/>
      <c r="D11" s="3" t="s">
        <v>6</v>
      </c>
      <c r="E11" s="5">
        <f>'#ignore - Misc calcs'!O32</f>
        <v>5282952</v>
      </c>
      <c r="F11" s="5"/>
      <c r="G11" s="2"/>
    </row>
    <row r="13" spans="1:11" x14ac:dyDescent="0.2">
      <c r="A13" s="1" t="s">
        <v>7</v>
      </c>
      <c r="B13" s="1" t="s">
        <v>3</v>
      </c>
      <c r="C13" s="1" t="s">
        <v>4</v>
      </c>
      <c r="D13" s="1"/>
      <c r="E13" s="1">
        <v>2017</v>
      </c>
      <c r="F13" s="1">
        <v>2018</v>
      </c>
      <c r="G13" s="1">
        <v>2019</v>
      </c>
    </row>
    <row r="14" spans="1:11" x14ac:dyDescent="0.2">
      <c r="A14" s="1" t="str">
        <f>'Population Definitions'!$A$2</f>
        <v>Males 0-14</v>
      </c>
      <c r="B14" t="s">
        <v>5</v>
      </c>
      <c r="C14" s="2"/>
      <c r="D14" s="3" t="s">
        <v>6</v>
      </c>
      <c r="E14" s="5">
        <f>'#ignore - Misc calcs'!Q23</f>
        <v>176444</v>
      </c>
      <c r="F14" s="2"/>
      <c r="G14" s="2"/>
      <c r="I14" s="21"/>
    </row>
    <row r="15" spans="1:11" x14ac:dyDescent="0.2">
      <c r="A15" s="1" t="str">
        <f>'Population Definitions'!$A$3</f>
        <v>Females 0-14</v>
      </c>
      <c r="B15" t="s">
        <v>5</v>
      </c>
      <c r="C15" s="2"/>
      <c r="D15" s="3" t="s">
        <v>6</v>
      </c>
      <c r="E15" s="5">
        <f>'#ignore - Misc calcs'!Q24</f>
        <v>219874</v>
      </c>
      <c r="F15" s="2"/>
      <c r="G15" s="2"/>
      <c r="I15" s="21"/>
    </row>
    <row r="16" spans="1:11" x14ac:dyDescent="0.2">
      <c r="A16" s="1" t="str">
        <f>'Population Definitions'!$A$4</f>
        <v>Males 15-24</v>
      </c>
      <c r="B16" t="s">
        <v>5</v>
      </c>
      <c r="C16" s="2"/>
      <c r="D16" s="3" t="s">
        <v>6</v>
      </c>
      <c r="E16" s="5">
        <f>'#ignore - Misc calcs'!Q25</f>
        <v>198559</v>
      </c>
      <c r="F16" s="2"/>
      <c r="G16" s="2"/>
      <c r="I16" s="21"/>
      <c r="J16" s="17"/>
      <c r="K16" s="17"/>
    </row>
    <row r="17" spans="1:11" x14ac:dyDescent="0.2">
      <c r="A17" s="1" t="str">
        <f>'Population Definitions'!$A$5</f>
        <v>Females 15-24</v>
      </c>
      <c r="B17" t="s">
        <v>5</v>
      </c>
      <c r="C17" s="2"/>
      <c r="D17" s="3" t="s">
        <v>6</v>
      </c>
      <c r="E17" s="5">
        <f>'#ignore - Misc calcs'!Q26</f>
        <v>458324</v>
      </c>
      <c r="F17" s="2"/>
      <c r="G17" s="2"/>
      <c r="I17" s="21"/>
    </row>
    <row r="18" spans="1:11" x14ac:dyDescent="0.2">
      <c r="A18" s="1" t="str">
        <f>'Population Definitions'!$A$6</f>
        <v>Males 25-34</v>
      </c>
      <c r="B18" t="s">
        <v>5</v>
      </c>
      <c r="C18" s="2"/>
      <c r="D18" s="3" t="s">
        <v>6</v>
      </c>
      <c r="E18" s="5">
        <f>'#ignore - Misc calcs'!Q27</f>
        <v>723818</v>
      </c>
      <c r="F18" s="2"/>
      <c r="G18" s="2"/>
      <c r="I18" s="21"/>
      <c r="K18" s="17"/>
    </row>
    <row r="19" spans="1:11" x14ac:dyDescent="0.2">
      <c r="A19" s="1" t="str">
        <f>'Population Definitions'!$A$7</f>
        <v>Females 25-34</v>
      </c>
      <c r="B19" t="s">
        <v>5</v>
      </c>
      <c r="C19" s="2"/>
      <c r="D19" s="3" t="s">
        <v>6</v>
      </c>
      <c r="E19" s="5">
        <f>'#ignore - Misc calcs'!Q28</f>
        <v>1434692</v>
      </c>
      <c r="F19" s="2"/>
      <c r="G19" s="2"/>
      <c r="I19" s="21"/>
      <c r="K19" s="17"/>
    </row>
    <row r="20" spans="1:11" x14ac:dyDescent="0.2">
      <c r="A20" s="1" t="str">
        <f>'Population Definitions'!$A$8</f>
        <v>Males 35-49</v>
      </c>
      <c r="B20" t="s">
        <v>5</v>
      </c>
      <c r="C20" s="2"/>
      <c r="D20" s="3" t="s">
        <v>6</v>
      </c>
      <c r="E20" s="5">
        <f>'#ignore - Misc calcs'!Q29</f>
        <v>1089795</v>
      </c>
      <c r="F20" s="2"/>
      <c r="G20" s="2"/>
      <c r="I20" s="21"/>
    </row>
    <row r="21" spans="1:11" x14ac:dyDescent="0.2">
      <c r="A21" s="1" t="str">
        <f>'Population Definitions'!$A$9</f>
        <v>Females 35-49</v>
      </c>
      <c r="B21" t="s">
        <v>5</v>
      </c>
      <c r="C21" s="2"/>
      <c r="D21" s="3" t="s">
        <v>6</v>
      </c>
      <c r="E21" s="5">
        <f>'#ignore - Misc calcs'!Q30</f>
        <v>1648736</v>
      </c>
      <c r="F21" s="2"/>
      <c r="G21" s="2"/>
      <c r="I21" s="21"/>
    </row>
    <row r="22" spans="1:11" x14ac:dyDescent="0.2">
      <c r="A22" s="1" t="str">
        <f>'Population Definitions'!$A$10</f>
        <v>Males 50+</v>
      </c>
      <c r="B22" t="s">
        <v>5</v>
      </c>
      <c r="C22" s="2"/>
      <c r="D22" s="3" t="s">
        <v>6</v>
      </c>
      <c r="E22" s="5">
        <f>'#ignore - Misc calcs'!Q31</f>
        <v>444060</v>
      </c>
      <c r="F22" s="2"/>
      <c r="G22" s="2"/>
      <c r="I22" s="21"/>
    </row>
    <row r="23" spans="1:11" x14ac:dyDescent="0.2">
      <c r="A23" s="1" t="str">
        <f>'Population Definitions'!$A$11</f>
        <v>Females 50+</v>
      </c>
      <c r="B23" t="s">
        <v>5</v>
      </c>
      <c r="C23" s="2"/>
      <c r="D23" s="3" t="s">
        <v>6</v>
      </c>
      <c r="E23" s="5">
        <f>'#ignore - Misc calcs'!Q32</f>
        <v>805697</v>
      </c>
      <c r="F23" s="2"/>
      <c r="G23" s="2"/>
      <c r="I23" s="21"/>
    </row>
    <row r="25" spans="1:11" x14ac:dyDescent="0.2">
      <c r="A25" s="1" t="s">
        <v>8</v>
      </c>
      <c r="B25" s="1" t="s">
        <v>3</v>
      </c>
      <c r="C25" s="1" t="s">
        <v>4</v>
      </c>
      <c r="D25" s="1"/>
      <c r="E25" s="1">
        <v>2017</v>
      </c>
      <c r="F25" s="1">
        <v>2018</v>
      </c>
      <c r="G25" s="1">
        <v>2019</v>
      </c>
    </row>
    <row r="26" spans="1:11" x14ac:dyDescent="0.2">
      <c r="A26" s="1" t="str">
        <f>'Population Definitions'!$A$2</f>
        <v>Males 0-14</v>
      </c>
      <c r="B26" t="s">
        <v>5</v>
      </c>
      <c r="C26" s="2"/>
      <c r="D26" s="3" t="s">
        <v>6</v>
      </c>
      <c r="E26" s="5">
        <f>78%*E14</f>
        <v>137626.32</v>
      </c>
      <c r="F26" s="2"/>
      <c r="G26" s="2"/>
      <c r="I26" s="21"/>
      <c r="J26" s="21"/>
    </row>
    <row r="27" spans="1:11" x14ac:dyDescent="0.2">
      <c r="A27" s="1" t="str">
        <f>'Population Definitions'!$A$3</f>
        <v>Females 0-14</v>
      </c>
      <c r="B27" t="s">
        <v>5</v>
      </c>
      <c r="C27" s="2"/>
      <c r="D27" s="3" t="s">
        <v>6</v>
      </c>
      <c r="E27" s="5">
        <f>88.9%*E15</f>
        <v>195467.986</v>
      </c>
      <c r="F27" s="2"/>
      <c r="G27" s="2"/>
      <c r="I27" s="23"/>
      <c r="J27" s="21"/>
    </row>
    <row r="28" spans="1:11" x14ac:dyDescent="0.2">
      <c r="A28" s="1" t="str">
        <f>'Population Definitions'!$A$4</f>
        <v>Males 15-24</v>
      </c>
      <c r="B28" t="s">
        <v>5</v>
      </c>
      <c r="C28" s="2"/>
      <c r="D28" s="3" t="s">
        <v>6</v>
      </c>
      <c r="E28" s="5">
        <f>78%*E16</f>
        <v>154876.02000000002</v>
      </c>
      <c r="F28" s="2"/>
      <c r="G28" s="2"/>
      <c r="I28" s="21"/>
      <c r="J28" s="21"/>
    </row>
    <row r="29" spans="1:11" x14ac:dyDescent="0.2">
      <c r="A29" s="1" t="str">
        <f>'Population Definitions'!$A$5</f>
        <v>Females 15-24</v>
      </c>
      <c r="B29" t="s">
        <v>5</v>
      </c>
      <c r="C29" s="2"/>
      <c r="D29" s="3" t="s">
        <v>6</v>
      </c>
      <c r="E29" s="5">
        <f>88.9%*E17</f>
        <v>407450.03600000002</v>
      </c>
      <c r="F29" s="2"/>
      <c r="G29" s="2"/>
      <c r="I29" s="21"/>
      <c r="J29" s="21"/>
    </row>
    <row r="30" spans="1:11" x14ac:dyDescent="0.2">
      <c r="A30" s="1" t="str">
        <f>'Population Definitions'!$A$6</f>
        <v>Males 25-34</v>
      </c>
      <c r="B30" t="s">
        <v>5</v>
      </c>
      <c r="C30" s="2"/>
      <c r="D30" s="3" t="s">
        <v>6</v>
      </c>
      <c r="E30" s="5">
        <f>78%*E18</f>
        <v>564578.04</v>
      </c>
      <c r="F30" s="2"/>
      <c r="G30" s="2"/>
      <c r="I30" s="21"/>
      <c r="J30" s="21"/>
    </row>
    <row r="31" spans="1:11" x14ac:dyDescent="0.2">
      <c r="A31" s="1" t="str">
        <f>'Population Definitions'!$A$7</f>
        <v>Females 25-34</v>
      </c>
      <c r="B31" t="s">
        <v>5</v>
      </c>
      <c r="C31" s="2"/>
      <c r="D31" s="3" t="s">
        <v>6</v>
      </c>
      <c r="E31" s="5">
        <f>88.9%*E19</f>
        <v>1275441.1880000001</v>
      </c>
      <c r="F31" s="2"/>
      <c r="G31" s="2"/>
      <c r="I31" s="21"/>
      <c r="J31" s="21"/>
    </row>
    <row r="32" spans="1:11" x14ac:dyDescent="0.2">
      <c r="A32" s="1" t="str">
        <f>'Population Definitions'!$A$8</f>
        <v>Males 35-49</v>
      </c>
      <c r="B32" t="s">
        <v>5</v>
      </c>
      <c r="C32" s="2"/>
      <c r="D32" s="3" t="s">
        <v>6</v>
      </c>
      <c r="E32" s="5">
        <f>78%*E20</f>
        <v>850040.1</v>
      </c>
      <c r="F32" s="2"/>
      <c r="G32" s="2"/>
      <c r="I32" s="21"/>
      <c r="J32" s="21"/>
    </row>
    <row r="33" spans="1:10" x14ac:dyDescent="0.2">
      <c r="A33" s="1" t="str">
        <f>'Population Definitions'!$A$9</f>
        <v>Females 35-49</v>
      </c>
      <c r="B33" t="s">
        <v>5</v>
      </c>
      <c r="C33" s="2"/>
      <c r="D33" s="3" t="s">
        <v>6</v>
      </c>
      <c r="E33" s="5">
        <f>88.9%*E21</f>
        <v>1465726.304</v>
      </c>
      <c r="F33" s="2"/>
      <c r="G33" s="2"/>
      <c r="I33" s="21"/>
      <c r="J33" s="21"/>
    </row>
    <row r="34" spans="1:10" x14ac:dyDescent="0.2">
      <c r="A34" s="1" t="str">
        <f>'Population Definitions'!$A$10</f>
        <v>Males 50+</v>
      </c>
      <c r="B34" t="s">
        <v>5</v>
      </c>
      <c r="C34" s="2"/>
      <c r="D34" s="3" t="s">
        <v>6</v>
      </c>
      <c r="E34" s="5">
        <f>78%*E22</f>
        <v>346366.8</v>
      </c>
      <c r="F34" s="2"/>
      <c r="G34" s="2"/>
      <c r="I34" s="21"/>
      <c r="J34" s="21"/>
    </row>
    <row r="35" spans="1:10" x14ac:dyDescent="0.2">
      <c r="A35" s="1" t="str">
        <f>'Population Definitions'!$A$11</f>
        <v>Females 50+</v>
      </c>
      <c r="B35" t="s">
        <v>5</v>
      </c>
      <c r="C35" s="2"/>
      <c r="D35" s="3" t="s">
        <v>6</v>
      </c>
      <c r="E35" s="5">
        <f>88.9%*E23</f>
        <v>716264.63300000003</v>
      </c>
      <c r="F35" s="2"/>
      <c r="G35" s="2"/>
      <c r="I35" s="21"/>
      <c r="J35" s="21"/>
    </row>
    <row r="37" spans="1:10" x14ac:dyDescent="0.2">
      <c r="A37" s="1" t="s">
        <v>9</v>
      </c>
      <c r="B37" s="1" t="s">
        <v>3</v>
      </c>
      <c r="C37" s="1" t="s">
        <v>4</v>
      </c>
      <c r="D37" s="1"/>
      <c r="E37" s="1">
        <v>2017</v>
      </c>
      <c r="F37" s="1">
        <v>2018</v>
      </c>
      <c r="G37" s="1">
        <v>2019</v>
      </c>
    </row>
    <row r="38" spans="1:10" x14ac:dyDescent="0.2">
      <c r="A38" s="1" t="str">
        <f>'Population Definitions'!$A$2</f>
        <v>Males 0-14</v>
      </c>
      <c r="B38" t="s">
        <v>5</v>
      </c>
      <c r="C38" s="2"/>
      <c r="D38" s="3" t="s">
        <v>6</v>
      </c>
      <c r="E38" s="5">
        <f>AVERAGE(E26,E50)</f>
        <v>127419.49</v>
      </c>
      <c r="F38" s="2"/>
      <c r="G38" s="2"/>
      <c r="I38" s="21"/>
    </row>
    <row r="39" spans="1:10" x14ac:dyDescent="0.2">
      <c r="A39" s="1" t="str">
        <f>'Population Definitions'!$A$3</f>
        <v>Females 0-14</v>
      </c>
      <c r="B39" t="s">
        <v>5</v>
      </c>
      <c r="C39" s="2"/>
      <c r="D39" s="3" t="s">
        <v>6</v>
      </c>
      <c r="E39" s="5">
        <f t="shared" ref="E39:E47" si="0">AVERAGE(E27,E51)</f>
        <v>172510.23950000003</v>
      </c>
      <c r="F39" s="2"/>
      <c r="G39" s="2"/>
      <c r="I39" s="21"/>
    </row>
    <row r="40" spans="1:10" x14ac:dyDescent="0.2">
      <c r="A40" s="1" t="str">
        <f>'Population Definitions'!$A$4</f>
        <v>Males 15-24</v>
      </c>
      <c r="B40" t="s">
        <v>5</v>
      </c>
      <c r="C40" s="2"/>
      <c r="D40" s="3" t="s">
        <v>6</v>
      </c>
      <c r="E40" s="5">
        <f t="shared" si="0"/>
        <v>139991.51500000001</v>
      </c>
      <c r="F40" s="2"/>
      <c r="G40" s="2"/>
      <c r="I40" s="21"/>
    </row>
    <row r="41" spans="1:10" x14ac:dyDescent="0.2">
      <c r="A41" s="1" t="str">
        <f>'Population Definitions'!$A$5</f>
        <v>Females 15-24</v>
      </c>
      <c r="B41" t="s">
        <v>5</v>
      </c>
      <c r="C41" s="2"/>
      <c r="D41" s="3" t="s">
        <v>6</v>
      </c>
      <c r="E41" s="5">
        <f t="shared" si="0"/>
        <v>358362.777</v>
      </c>
      <c r="F41" s="2"/>
      <c r="G41" s="2"/>
      <c r="I41" s="21"/>
    </row>
    <row r="42" spans="1:10" x14ac:dyDescent="0.2">
      <c r="A42" s="1" t="str">
        <f>'Population Definitions'!$A$6</f>
        <v>Males 25-34</v>
      </c>
      <c r="B42" t="s">
        <v>5</v>
      </c>
      <c r="C42" s="2"/>
      <c r="D42" s="3" t="s">
        <v>6</v>
      </c>
      <c r="E42" s="5">
        <f t="shared" si="0"/>
        <v>496870.28</v>
      </c>
      <c r="F42" s="2"/>
      <c r="G42" s="2"/>
      <c r="I42" s="21"/>
    </row>
    <row r="43" spans="1:10" x14ac:dyDescent="0.2">
      <c r="A43" s="1" t="str">
        <f>'Population Definitions'!$A$7</f>
        <v>Females 25-34</v>
      </c>
      <c r="B43" t="s">
        <v>5</v>
      </c>
      <c r="C43" s="2"/>
      <c r="D43" s="3" t="s">
        <v>6</v>
      </c>
      <c r="E43" s="5">
        <f t="shared" si="0"/>
        <v>1196843.6410000001</v>
      </c>
      <c r="F43" s="2"/>
      <c r="G43" s="2"/>
      <c r="I43" s="21"/>
    </row>
    <row r="44" spans="1:10" x14ac:dyDescent="0.2">
      <c r="A44" s="1" t="str">
        <f>'Population Definitions'!$A$8</f>
        <v>Males 35-49</v>
      </c>
      <c r="B44" t="s">
        <v>5</v>
      </c>
      <c r="C44" s="2"/>
      <c r="D44" s="3" t="s">
        <v>6</v>
      </c>
      <c r="E44" s="5">
        <f t="shared" si="0"/>
        <v>791152.07499999995</v>
      </c>
      <c r="F44" s="2"/>
      <c r="G44" s="2"/>
      <c r="I44" s="21"/>
    </row>
    <row r="45" spans="1:10" x14ac:dyDescent="0.2">
      <c r="A45" s="1" t="str">
        <f>'Population Definitions'!$A$9</f>
        <v>Females 35-49</v>
      </c>
      <c r="B45" t="s">
        <v>5</v>
      </c>
      <c r="C45" s="2"/>
      <c r="D45" s="3" t="s">
        <v>6</v>
      </c>
      <c r="E45" s="5">
        <f t="shared" si="0"/>
        <v>1383666.7280000001</v>
      </c>
      <c r="F45" s="2"/>
      <c r="G45" s="2"/>
      <c r="I45" s="21"/>
    </row>
    <row r="46" spans="1:10" x14ac:dyDescent="0.2">
      <c r="A46" s="1" t="str">
        <f>'Population Definitions'!$A$10</f>
        <v>Males 50+</v>
      </c>
      <c r="B46" t="s">
        <v>5</v>
      </c>
      <c r="C46" s="2"/>
      <c r="D46" s="3" t="s">
        <v>6</v>
      </c>
      <c r="E46" s="5">
        <f t="shared" si="0"/>
        <v>342716.85</v>
      </c>
      <c r="F46" s="2"/>
      <c r="G46" s="2"/>
      <c r="I46" s="21"/>
    </row>
    <row r="47" spans="1:10" x14ac:dyDescent="0.2">
      <c r="A47" s="1" t="str">
        <f>'Population Definitions'!$A$11</f>
        <v>Females 50+</v>
      </c>
      <c r="B47" t="s">
        <v>5</v>
      </c>
      <c r="C47" s="2"/>
      <c r="D47" s="3" t="s">
        <v>6</v>
      </c>
      <c r="E47" s="5">
        <f t="shared" si="0"/>
        <v>677443.97475000005</v>
      </c>
      <c r="F47" s="2"/>
      <c r="G47" s="2"/>
      <c r="I47" s="21"/>
    </row>
    <row r="49" spans="1:9" x14ac:dyDescent="0.2">
      <c r="A49" s="1" t="s">
        <v>10</v>
      </c>
      <c r="B49" s="1" t="s">
        <v>3</v>
      </c>
      <c r="C49" s="1" t="s">
        <v>4</v>
      </c>
      <c r="D49" s="1"/>
      <c r="E49" s="1">
        <v>2017</v>
      </c>
      <c r="F49" s="1">
        <v>2018</v>
      </c>
      <c r="G49" s="1">
        <v>2019</v>
      </c>
    </row>
    <row r="50" spans="1:9" x14ac:dyDescent="0.2">
      <c r="A50" s="1" t="str">
        <f>'Population Definitions'!$A$2</f>
        <v>Males 0-14</v>
      </c>
      <c r="B50" t="s">
        <v>5</v>
      </c>
      <c r="C50" s="2"/>
      <c r="D50" s="3" t="s">
        <v>6</v>
      </c>
      <c r="E50" s="5">
        <f>AVERAGE(E26,E74)</f>
        <v>117212.66</v>
      </c>
      <c r="F50" s="2"/>
      <c r="G50" s="2"/>
      <c r="I50" s="21"/>
    </row>
    <row r="51" spans="1:9" x14ac:dyDescent="0.2">
      <c r="A51" s="1" t="str">
        <f>'Population Definitions'!$A$3</f>
        <v>Females 0-14</v>
      </c>
      <c r="B51" t="s">
        <v>5</v>
      </c>
      <c r="C51" s="2"/>
      <c r="D51" s="3" t="s">
        <v>6</v>
      </c>
      <c r="E51" s="5">
        <f t="shared" ref="E51:E59" si="1">AVERAGE(E27,E75)</f>
        <v>149552.49300000002</v>
      </c>
      <c r="F51" s="2"/>
      <c r="G51" s="2"/>
      <c r="I51" s="21"/>
    </row>
    <row r="52" spans="1:9" x14ac:dyDescent="0.2">
      <c r="A52" s="1" t="str">
        <f>'Population Definitions'!$A$4</f>
        <v>Males 15-24</v>
      </c>
      <c r="B52" t="s">
        <v>5</v>
      </c>
      <c r="C52" s="2"/>
      <c r="D52" s="3" t="s">
        <v>6</v>
      </c>
      <c r="E52" s="5">
        <f t="shared" si="1"/>
        <v>125107.01000000001</v>
      </c>
      <c r="F52" s="2"/>
      <c r="G52" s="2"/>
      <c r="I52" s="21"/>
    </row>
    <row r="53" spans="1:9" x14ac:dyDescent="0.2">
      <c r="A53" s="1" t="str">
        <f>'Population Definitions'!$A$5</f>
        <v>Females 15-24</v>
      </c>
      <c r="B53" t="s">
        <v>5</v>
      </c>
      <c r="C53" s="2"/>
      <c r="D53" s="3" t="s">
        <v>6</v>
      </c>
      <c r="E53" s="5">
        <f t="shared" si="1"/>
        <v>309275.51800000004</v>
      </c>
      <c r="F53" s="2"/>
      <c r="G53" s="2"/>
      <c r="I53" s="21"/>
    </row>
    <row r="54" spans="1:9" x14ac:dyDescent="0.2">
      <c r="A54" s="1" t="str">
        <f>'Population Definitions'!$A$6</f>
        <v>Males 25-34</v>
      </c>
      <c r="B54" t="s">
        <v>5</v>
      </c>
      <c r="C54" s="2"/>
      <c r="D54" s="3" t="s">
        <v>6</v>
      </c>
      <c r="E54" s="5">
        <f t="shared" si="1"/>
        <v>429162.52</v>
      </c>
      <c r="F54" s="2"/>
      <c r="G54" s="2"/>
      <c r="I54" s="21"/>
    </row>
    <row r="55" spans="1:9" x14ac:dyDescent="0.2">
      <c r="A55" s="1" t="str">
        <f>'Population Definitions'!$A$7</f>
        <v>Females 25-34</v>
      </c>
      <c r="B55" t="s">
        <v>5</v>
      </c>
      <c r="C55" s="2"/>
      <c r="D55" s="3" t="s">
        <v>6</v>
      </c>
      <c r="E55" s="5">
        <f t="shared" si="1"/>
        <v>1118246.094</v>
      </c>
      <c r="F55" s="2"/>
      <c r="G55" s="2"/>
      <c r="I55" s="21"/>
    </row>
    <row r="56" spans="1:9" x14ac:dyDescent="0.2">
      <c r="A56" s="1" t="str">
        <f>'Population Definitions'!$A$8</f>
        <v>Males 35-49</v>
      </c>
      <c r="B56" t="s">
        <v>5</v>
      </c>
      <c r="C56" s="2"/>
      <c r="D56" s="3" t="s">
        <v>6</v>
      </c>
      <c r="E56" s="5">
        <f t="shared" si="1"/>
        <v>732264.05</v>
      </c>
      <c r="F56" s="2"/>
      <c r="G56" s="2"/>
      <c r="I56" s="21"/>
    </row>
    <row r="57" spans="1:9" x14ac:dyDescent="0.2">
      <c r="A57" s="1" t="str">
        <f>'Population Definitions'!$A$9</f>
        <v>Females 35-49</v>
      </c>
      <c r="B57" t="s">
        <v>5</v>
      </c>
      <c r="C57" s="2"/>
      <c r="D57" s="3" t="s">
        <v>6</v>
      </c>
      <c r="E57" s="5">
        <f t="shared" si="1"/>
        <v>1301607.152</v>
      </c>
      <c r="F57" s="2"/>
      <c r="G57" s="2"/>
      <c r="I57" s="21"/>
    </row>
    <row r="58" spans="1:9" x14ac:dyDescent="0.2">
      <c r="A58" s="1" t="str">
        <f>'Population Definitions'!$A$10</f>
        <v>Males 50+</v>
      </c>
      <c r="B58" t="s">
        <v>5</v>
      </c>
      <c r="C58" s="2"/>
      <c r="D58" s="3" t="s">
        <v>6</v>
      </c>
      <c r="E58" s="5">
        <f t="shared" si="1"/>
        <v>339066.9</v>
      </c>
      <c r="F58" s="2"/>
      <c r="G58" s="2"/>
      <c r="I58" s="21"/>
    </row>
    <row r="59" spans="1:9" x14ac:dyDescent="0.2">
      <c r="A59" s="1" t="str">
        <f>'Population Definitions'!$A$11</f>
        <v>Females 50+</v>
      </c>
      <c r="B59" t="s">
        <v>5</v>
      </c>
      <c r="C59" s="2"/>
      <c r="D59" s="3" t="s">
        <v>6</v>
      </c>
      <c r="E59" s="5">
        <f t="shared" si="1"/>
        <v>638623.31649999996</v>
      </c>
      <c r="F59" s="2"/>
      <c r="G59" s="2"/>
      <c r="I59" s="21"/>
    </row>
    <row r="61" spans="1:9" x14ac:dyDescent="0.2">
      <c r="A61" s="1" t="s">
        <v>11</v>
      </c>
      <c r="B61" s="1" t="s">
        <v>3</v>
      </c>
      <c r="C61" s="1" t="s">
        <v>4</v>
      </c>
      <c r="D61" s="1"/>
      <c r="E61" s="1">
        <v>2017</v>
      </c>
      <c r="F61" s="1">
        <v>2018</v>
      </c>
      <c r="G61" s="1">
        <v>2019</v>
      </c>
    </row>
    <row r="62" spans="1:9" x14ac:dyDescent="0.2">
      <c r="A62" s="1" t="str">
        <f>'Population Definitions'!$A$2</f>
        <v>Males 0-14</v>
      </c>
      <c r="B62" t="s">
        <v>5</v>
      </c>
      <c r="C62" s="2"/>
      <c r="D62" s="3" t="s">
        <v>6</v>
      </c>
      <c r="E62" s="5">
        <f>AVERAGE(E50,E74)</f>
        <v>107005.83</v>
      </c>
      <c r="F62" s="2"/>
      <c r="G62" s="2"/>
      <c r="I62" s="21"/>
    </row>
    <row r="63" spans="1:9" x14ac:dyDescent="0.2">
      <c r="A63" s="1" t="str">
        <f>'Population Definitions'!$A$3</f>
        <v>Females 0-14</v>
      </c>
      <c r="B63" t="s">
        <v>5</v>
      </c>
      <c r="C63" s="2"/>
      <c r="D63" s="3" t="s">
        <v>6</v>
      </c>
      <c r="E63" s="5">
        <f t="shared" ref="E63:E71" si="2">AVERAGE(E51,E75)</f>
        <v>126594.74650000001</v>
      </c>
      <c r="F63" s="2"/>
      <c r="G63" s="2"/>
      <c r="I63" s="21"/>
    </row>
    <row r="64" spans="1:9" x14ac:dyDescent="0.2">
      <c r="A64" s="1" t="str">
        <f>'Population Definitions'!$A$4</f>
        <v>Males 15-24</v>
      </c>
      <c r="B64" t="s">
        <v>5</v>
      </c>
      <c r="C64" s="2"/>
      <c r="D64" s="3" t="s">
        <v>6</v>
      </c>
      <c r="E64" s="5">
        <f t="shared" si="2"/>
        <v>110222.505</v>
      </c>
      <c r="F64" s="2"/>
      <c r="G64" s="2"/>
      <c r="I64" s="21"/>
    </row>
    <row r="65" spans="1:10" x14ac:dyDescent="0.2">
      <c r="A65" s="1" t="str">
        <f>'Population Definitions'!$A$5</f>
        <v>Females 15-24</v>
      </c>
      <c r="B65" t="s">
        <v>5</v>
      </c>
      <c r="C65" s="2"/>
      <c r="D65" s="3" t="s">
        <v>6</v>
      </c>
      <c r="E65" s="5">
        <f t="shared" si="2"/>
        <v>260188.25900000002</v>
      </c>
      <c r="F65" s="2"/>
      <c r="G65" s="2"/>
      <c r="I65" s="21"/>
    </row>
    <row r="66" spans="1:10" x14ac:dyDescent="0.2">
      <c r="A66" s="1" t="str">
        <f>'Population Definitions'!$A$6</f>
        <v>Males 25-34</v>
      </c>
      <c r="B66" t="s">
        <v>5</v>
      </c>
      <c r="C66" s="2"/>
      <c r="D66" s="3" t="s">
        <v>6</v>
      </c>
      <c r="E66" s="5">
        <f t="shared" si="2"/>
        <v>361454.76</v>
      </c>
      <c r="F66" s="2"/>
      <c r="G66" s="2"/>
      <c r="I66" s="21"/>
    </row>
    <row r="67" spans="1:10" x14ac:dyDescent="0.2">
      <c r="A67" s="1" t="str">
        <f>'Population Definitions'!$A$7</f>
        <v>Females 25-34</v>
      </c>
      <c r="B67" t="s">
        <v>5</v>
      </c>
      <c r="C67" s="2"/>
      <c r="D67" s="3" t="s">
        <v>6</v>
      </c>
      <c r="E67" s="5">
        <f t="shared" si="2"/>
        <v>1039648.547</v>
      </c>
      <c r="F67" s="2"/>
      <c r="G67" s="2"/>
      <c r="I67" s="21"/>
    </row>
    <row r="68" spans="1:10" x14ac:dyDescent="0.2">
      <c r="A68" s="1" t="str">
        <f>'Population Definitions'!$A$8</f>
        <v>Males 35-49</v>
      </c>
      <c r="B68" t="s">
        <v>5</v>
      </c>
      <c r="C68" s="2"/>
      <c r="D68" s="3" t="s">
        <v>6</v>
      </c>
      <c r="E68" s="5">
        <f t="shared" si="2"/>
        <v>673376.02500000002</v>
      </c>
      <c r="F68" s="2"/>
      <c r="G68" s="2"/>
      <c r="I68" s="21"/>
    </row>
    <row r="69" spans="1:10" x14ac:dyDescent="0.2">
      <c r="A69" s="1" t="str">
        <f>'Population Definitions'!$A$9</f>
        <v>Females 35-49</v>
      </c>
      <c r="B69" t="s">
        <v>5</v>
      </c>
      <c r="C69" s="2"/>
      <c r="D69" s="3" t="s">
        <v>6</v>
      </c>
      <c r="E69" s="5">
        <f t="shared" si="2"/>
        <v>1219547.5759999999</v>
      </c>
      <c r="F69" s="2"/>
      <c r="G69" s="2"/>
      <c r="I69" s="21"/>
    </row>
    <row r="70" spans="1:10" x14ac:dyDescent="0.2">
      <c r="A70" s="1" t="str">
        <f>'Population Definitions'!$A$10</f>
        <v>Males 50+</v>
      </c>
      <c r="B70" t="s">
        <v>5</v>
      </c>
      <c r="C70" s="2"/>
      <c r="D70" s="3" t="s">
        <v>6</v>
      </c>
      <c r="E70" s="5">
        <f t="shared" si="2"/>
        <v>335416.95</v>
      </c>
      <c r="F70" s="2"/>
      <c r="G70" s="2"/>
      <c r="I70" s="21"/>
    </row>
    <row r="71" spans="1:10" x14ac:dyDescent="0.2">
      <c r="A71" s="1" t="str">
        <f>'Population Definitions'!$A$11</f>
        <v>Females 50+</v>
      </c>
      <c r="B71" t="s">
        <v>5</v>
      </c>
      <c r="C71" s="2"/>
      <c r="D71" s="3" t="s">
        <v>6</v>
      </c>
      <c r="E71" s="5">
        <f t="shared" si="2"/>
        <v>599802.65824999998</v>
      </c>
      <c r="F71" s="2"/>
      <c r="G71" s="2"/>
      <c r="I71" s="21"/>
    </row>
    <row r="73" spans="1:10" x14ac:dyDescent="0.2">
      <c r="A73" s="1" t="s">
        <v>12</v>
      </c>
      <c r="B73" s="1" t="s">
        <v>3</v>
      </c>
      <c r="C73" s="1" t="s">
        <v>4</v>
      </c>
      <c r="D73" s="1"/>
      <c r="E73" s="1">
        <v>2017</v>
      </c>
      <c r="F73" s="1">
        <v>2018</v>
      </c>
      <c r="G73" s="1">
        <v>2019</v>
      </c>
    </row>
    <row r="74" spans="1:10" x14ac:dyDescent="0.2">
      <c r="A74" s="1" t="str">
        <f>'Population Definitions'!$A$2</f>
        <v>Males 0-14</v>
      </c>
      <c r="B74" t="s">
        <v>5</v>
      </c>
      <c r="C74" s="2"/>
      <c r="D74" s="3" t="s">
        <v>6</v>
      </c>
      <c r="E74" s="5">
        <f>ROUND(E86/SUM(E$86:E$95)*SUM(E$14:E$23)*90%*68%,0)</f>
        <v>96799</v>
      </c>
      <c r="F74" s="2"/>
      <c r="G74" s="2"/>
      <c r="I74" s="21"/>
    </row>
    <row r="75" spans="1:10" x14ac:dyDescent="0.2">
      <c r="A75" s="1" t="str">
        <f>'Population Definitions'!$A$3</f>
        <v>Females 0-14</v>
      </c>
      <c r="B75" t="s">
        <v>5</v>
      </c>
      <c r="C75" s="2"/>
      <c r="D75" s="3" t="s">
        <v>6</v>
      </c>
      <c r="E75" s="5">
        <f t="shared" ref="E75:E83" si="3">ROUND(E87/SUM(E$86:E$95)*SUM(E$14:E$23)*90%*68%,0)</f>
        <v>103637</v>
      </c>
      <c r="F75" s="2"/>
      <c r="G75" s="2"/>
      <c r="I75" s="23"/>
    </row>
    <row r="76" spans="1:10" x14ac:dyDescent="0.2">
      <c r="A76" s="1" t="str">
        <f>'Population Definitions'!$A$4</f>
        <v>Males 15-24</v>
      </c>
      <c r="B76" t="s">
        <v>5</v>
      </c>
      <c r="C76" s="2"/>
      <c r="D76" s="3" t="s">
        <v>6</v>
      </c>
      <c r="E76" s="5">
        <f t="shared" si="3"/>
        <v>95338</v>
      </c>
      <c r="F76" s="2"/>
      <c r="G76" s="2"/>
      <c r="I76" s="21"/>
      <c r="J76" s="7"/>
    </row>
    <row r="77" spans="1:10" x14ac:dyDescent="0.2">
      <c r="A77" s="1" t="str">
        <f>'Population Definitions'!$A$5</f>
        <v>Females 15-24</v>
      </c>
      <c r="B77" t="s">
        <v>5</v>
      </c>
      <c r="C77" s="2"/>
      <c r="D77" s="3" t="s">
        <v>6</v>
      </c>
      <c r="E77" s="5">
        <f t="shared" si="3"/>
        <v>211101</v>
      </c>
      <c r="F77" s="2"/>
      <c r="G77" s="2"/>
      <c r="I77" s="21"/>
    </row>
    <row r="78" spans="1:10" x14ac:dyDescent="0.2">
      <c r="A78" s="1" t="str">
        <f>'Population Definitions'!$A$6</f>
        <v>Males 25-34</v>
      </c>
      <c r="B78" t="s">
        <v>5</v>
      </c>
      <c r="C78" s="2"/>
      <c r="D78" s="3" t="s">
        <v>6</v>
      </c>
      <c r="E78" s="5">
        <f t="shared" si="3"/>
        <v>293747</v>
      </c>
      <c r="F78" s="2"/>
      <c r="G78" s="2"/>
      <c r="I78" s="21"/>
      <c r="J78" s="22"/>
    </row>
    <row r="79" spans="1:10" x14ac:dyDescent="0.2">
      <c r="A79" s="1" t="str">
        <f>'Population Definitions'!$A$7</f>
        <v>Females 25-34</v>
      </c>
      <c r="B79" t="s">
        <v>5</v>
      </c>
      <c r="C79" s="2"/>
      <c r="D79" s="3" t="s">
        <v>6</v>
      </c>
      <c r="E79" s="5">
        <f t="shared" si="3"/>
        <v>961051</v>
      </c>
      <c r="F79" s="2"/>
      <c r="G79" s="2"/>
      <c r="I79" s="21"/>
    </row>
    <row r="80" spans="1:10" x14ac:dyDescent="0.2">
      <c r="A80" s="1" t="str">
        <f>'Population Definitions'!$A$8</f>
        <v>Males 35-49</v>
      </c>
      <c r="B80" t="s">
        <v>5</v>
      </c>
      <c r="C80" s="2"/>
      <c r="D80" s="3" t="s">
        <v>6</v>
      </c>
      <c r="E80" s="5">
        <f t="shared" si="3"/>
        <v>614488</v>
      </c>
      <c r="F80" s="2"/>
      <c r="G80" s="2"/>
      <c r="I80" s="21"/>
    </row>
    <row r="81" spans="1:9" x14ac:dyDescent="0.2">
      <c r="A81" s="1" t="str">
        <f>'Population Definitions'!$A$9</f>
        <v>Females 35-49</v>
      </c>
      <c r="B81" t="s">
        <v>5</v>
      </c>
      <c r="C81" s="2"/>
      <c r="D81" s="3" t="s">
        <v>6</v>
      </c>
      <c r="E81" s="5">
        <f t="shared" si="3"/>
        <v>1137488</v>
      </c>
      <c r="F81" s="2"/>
      <c r="G81" s="2"/>
      <c r="I81" s="21"/>
    </row>
    <row r="82" spans="1:9" x14ac:dyDescent="0.2">
      <c r="A82" s="1" t="str">
        <f>'Population Definitions'!$A$10</f>
        <v>Males 50+</v>
      </c>
      <c r="B82" t="s">
        <v>5</v>
      </c>
      <c r="C82" s="2"/>
      <c r="D82" s="3" t="s">
        <v>6</v>
      </c>
      <c r="E82" s="5">
        <f t="shared" si="3"/>
        <v>331767</v>
      </c>
      <c r="F82" s="2"/>
      <c r="G82" s="2"/>
      <c r="I82" s="21"/>
    </row>
    <row r="83" spans="1:9" x14ac:dyDescent="0.2">
      <c r="A83" s="1" t="str">
        <f>'Population Definitions'!$A$11</f>
        <v>Females 50+</v>
      </c>
      <c r="B83" t="s">
        <v>5</v>
      </c>
      <c r="C83" s="2"/>
      <c r="D83" s="3" t="s">
        <v>6</v>
      </c>
      <c r="E83" s="5">
        <f t="shared" si="3"/>
        <v>560982</v>
      </c>
      <c r="F83" s="2"/>
      <c r="G83" s="2"/>
      <c r="I83" s="21"/>
    </row>
    <row r="85" spans="1:9" x14ac:dyDescent="0.2">
      <c r="A85" s="1" t="s">
        <v>13</v>
      </c>
      <c r="B85" s="1" t="s">
        <v>3</v>
      </c>
      <c r="C85" s="1" t="s">
        <v>4</v>
      </c>
      <c r="D85" s="1"/>
      <c r="E85" s="1">
        <v>2017</v>
      </c>
      <c r="F85" s="1">
        <v>2018</v>
      </c>
      <c r="G85" s="1">
        <v>2019</v>
      </c>
    </row>
    <row r="86" spans="1:9" x14ac:dyDescent="0.2">
      <c r="A86" s="1" t="str">
        <f>'Population Definitions'!$A$2</f>
        <v>Males 0-14</v>
      </c>
      <c r="B86" t="s">
        <v>5</v>
      </c>
      <c r="C86" s="2"/>
      <c r="D86" s="3" t="s">
        <v>6</v>
      </c>
      <c r="E86" s="5">
        <f>'#ignore - Misc calcs'!AA23</f>
        <v>75503</v>
      </c>
      <c r="F86" s="2"/>
      <c r="G86" s="2"/>
      <c r="I86" s="21"/>
    </row>
    <row r="87" spans="1:9" x14ac:dyDescent="0.2">
      <c r="A87" s="1" t="str">
        <f>'Population Definitions'!$A$3</f>
        <v>Females 0-14</v>
      </c>
      <c r="B87" t="s">
        <v>5</v>
      </c>
      <c r="C87" s="2"/>
      <c r="D87" s="3" t="s">
        <v>6</v>
      </c>
      <c r="E87" s="5">
        <f>'#ignore - Misc calcs'!AA24</f>
        <v>80837</v>
      </c>
      <c r="F87" s="2"/>
      <c r="G87" s="2"/>
      <c r="I87" s="23"/>
    </row>
    <row r="88" spans="1:9" x14ac:dyDescent="0.2">
      <c r="A88" s="1" t="str">
        <f>'Population Definitions'!$A$4</f>
        <v>Males 15-24</v>
      </c>
      <c r="B88" t="s">
        <v>5</v>
      </c>
      <c r="C88" s="2"/>
      <c r="D88" s="3" t="s">
        <v>6</v>
      </c>
      <c r="E88" s="5">
        <f>'#ignore - Misc calcs'!AA25</f>
        <v>74364</v>
      </c>
      <c r="F88" s="2"/>
      <c r="G88" s="2"/>
      <c r="I88" s="21"/>
    </row>
    <row r="89" spans="1:9" x14ac:dyDescent="0.2">
      <c r="A89" s="1" t="str">
        <f>'Population Definitions'!$A$5</f>
        <v>Females 15-24</v>
      </c>
      <c r="B89" t="s">
        <v>5</v>
      </c>
      <c r="C89" s="2"/>
      <c r="D89" s="3" t="s">
        <v>6</v>
      </c>
      <c r="E89" s="5">
        <f>'#ignore - Misc calcs'!AA26</f>
        <v>164659</v>
      </c>
      <c r="F89" s="2"/>
      <c r="G89" s="2"/>
      <c r="I89" s="21"/>
    </row>
    <row r="90" spans="1:9" x14ac:dyDescent="0.2">
      <c r="A90" s="1" t="str">
        <f>'Population Definitions'!$A$6</f>
        <v>Males 25-34</v>
      </c>
      <c r="B90" t="s">
        <v>5</v>
      </c>
      <c r="C90" s="2"/>
      <c r="D90" s="3" t="s">
        <v>6</v>
      </c>
      <c r="E90" s="5">
        <f>'#ignore - Misc calcs'!AA27</f>
        <v>229123</v>
      </c>
      <c r="F90" s="2"/>
      <c r="G90" s="2"/>
      <c r="I90" s="21"/>
    </row>
    <row r="91" spans="1:9" x14ac:dyDescent="0.2">
      <c r="A91" s="1" t="str">
        <f>'Population Definitions'!$A$7</f>
        <v>Females 25-34</v>
      </c>
      <c r="B91" t="s">
        <v>5</v>
      </c>
      <c r="C91" s="2"/>
      <c r="D91" s="3" t="s">
        <v>6</v>
      </c>
      <c r="E91" s="5">
        <f>'#ignore - Misc calcs'!AA28</f>
        <v>749620</v>
      </c>
      <c r="F91" s="2"/>
      <c r="G91" s="2"/>
      <c r="I91" s="21"/>
    </row>
    <row r="92" spans="1:9" x14ac:dyDescent="0.2">
      <c r="A92" s="1" t="str">
        <f>'Population Definitions'!$A$8</f>
        <v>Males 35-49</v>
      </c>
      <c r="B92" t="s">
        <v>5</v>
      </c>
      <c r="C92" s="2"/>
      <c r="D92" s="3" t="s">
        <v>6</v>
      </c>
      <c r="E92" s="5">
        <f>'#ignore - Misc calcs'!AA29</f>
        <v>479301</v>
      </c>
      <c r="F92" s="2"/>
      <c r="G92" s="2"/>
      <c r="I92" s="21"/>
    </row>
    <row r="93" spans="1:9" x14ac:dyDescent="0.2">
      <c r="A93" s="1" t="str">
        <f>'Population Definitions'!$A$9</f>
        <v>Females 35-49</v>
      </c>
      <c r="B93" t="s">
        <v>5</v>
      </c>
      <c r="C93" s="2"/>
      <c r="D93" s="3" t="s">
        <v>6</v>
      </c>
      <c r="E93" s="5">
        <f>'#ignore - Misc calcs'!AA30</f>
        <v>887241</v>
      </c>
      <c r="F93" s="2"/>
      <c r="G93" s="2"/>
      <c r="I93" s="21"/>
    </row>
    <row r="94" spans="1:9" x14ac:dyDescent="0.2">
      <c r="A94" s="1" t="str">
        <f>'Population Definitions'!$A$10</f>
        <v>Males 50+</v>
      </c>
      <c r="B94" t="s">
        <v>5</v>
      </c>
      <c r="C94" s="2"/>
      <c r="D94" s="3" t="s">
        <v>6</v>
      </c>
      <c r="E94" s="5">
        <f>'#ignore - Misc calcs'!AA31</f>
        <v>258778</v>
      </c>
      <c r="F94" s="2"/>
      <c r="G94" s="2"/>
      <c r="I94" s="21"/>
    </row>
    <row r="95" spans="1:9" x14ac:dyDescent="0.2">
      <c r="A95" s="1" t="str">
        <f>'Population Definitions'!$A$11</f>
        <v>Females 50+</v>
      </c>
      <c r="B95" t="s">
        <v>5</v>
      </c>
      <c r="C95" s="2"/>
      <c r="D95" s="3" t="s">
        <v>6</v>
      </c>
      <c r="E95" s="5">
        <f>'#ignore - Misc calcs'!AA32</f>
        <v>437566</v>
      </c>
      <c r="F95" s="2"/>
      <c r="G95" s="2"/>
      <c r="I95" s="21"/>
    </row>
  </sheetData>
  <conditionalFormatting sqref="C14:C23 C26:C35 C38:C47 C50:C59 C62:C71 C74:C83 C2:C11 C86:C95">
    <cfRule type="expression" dxfId="83" priority="615">
      <formula>COUNTIF(E2:G2,"&lt;&gt;" &amp; "")&gt;0</formula>
    </cfRule>
    <cfRule type="expression" dxfId="82" priority="616">
      <formula>AND(COUNTIF(E2:G2,"&lt;&gt;" &amp; "")&gt;0,NOT(ISBLANK(C2)))</formula>
    </cfRule>
  </conditionalFormatting>
  <dataValidations count="1">
    <dataValidation type="list" allowBlank="1" showInputMessage="1" showErrorMessage="1" sqref="B86:B95 B74:B83 B62:B71 B50:B59 B38:B47 B26:B35 B14:B23 B2:B11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227"/>
  <sheetViews>
    <sheetView tabSelected="1" topLeftCell="A157" workbookViewId="0">
      <selection activeCell="C170" sqref="C170:C179"/>
    </sheetView>
  </sheetViews>
  <sheetFormatPr baseColWidth="10" defaultColWidth="8.83203125" defaultRowHeight="15" x14ac:dyDescent="0.2"/>
  <cols>
    <col min="1" max="1" width="75" bestFit="1" customWidth="1"/>
    <col min="2" max="2" width="17.1640625" bestFit="1" customWidth="1"/>
    <col min="3" max="3" width="10.5" customWidth="1"/>
    <col min="4" max="4" width="3.83203125" customWidth="1"/>
  </cols>
  <sheetData>
    <row r="1" spans="1:7" x14ac:dyDescent="0.2">
      <c r="A1" s="1" t="s">
        <v>14</v>
      </c>
      <c r="B1" s="1" t="s">
        <v>3</v>
      </c>
      <c r="C1" s="1" t="s">
        <v>4</v>
      </c>
      <c r="D1" s="1"/>
      <c r="E1" s="1">
        <v>2017</v>
      </c>
      <c r="F1" s="1">
        <v>2018</v>
      </c>
      <c r="G1" s="1">
        <v>2019</v>
      </c>
    </row>
    <row r="2" spans="1:7" x14ac:dyDescent="0.2">
      <c r="A2" s="1" t="str">
        <f>'Population Definitions'!$A$2</f>
        <v>Males 0-14</v>
      </c>
      <c r="B2" t="s">
        <v>15</v>
      </c>
      <c r="C2" s="2"/>
      <c r="D2" s="3" t="s">
        <v>6</v>
      </c>
      <c r="E2" s="2">
        <f>1208934/2</f>
        <v>604467</v>
      </c>
      <c r="F2" s="2"/>
      <c r="G2" s="2"/>
    </row>
    <row r="3" spans="1:7" x14ac:dyDescent="0.2">
      <c r="A3" s="1" t="str">
        <f>'Population Definitions'!$A$3</f>
        <v>Females 0-14</v>
      </c>
      <c r="B3" t="s">
        <v>15</v>
      </c>
      <c r="C3" s="2"/>
      <c r="D3" s="3" t="s">
        <v>6</v>
      </c>
      <c r="E3" s="2">
        <f>1208934/2</f>
        <v>604467</v>
      </c>
      <c r="F3" s="2"/>
      <c r="G3" s="2"/>
    </row>
    <row r="4" spans="1:7" x14ac:dyDescent="0.2">
      <c r="A4" s="1" t="str">
        <f>'Population Definitions'!$A$4</f>
        <v>Males 15-24</v>
      </c>
      <c r="B4" t="s">
        <v>15</v>
      </c>
      <c r="C4" s="2">
        <v>0</v>
      </c>
      <c r="D4" s="3" t="s">
        <v>6</v>
      </c>
      <c r="E4" s="2"/>
      <c r="F4" s="2"/>
      <c r="G4" s="2"/>
    </row>
    <row r="5" spans="1:7" x14ac:dyDescent="0.2">
      <c r="A5" s="1" t="str">
        <f>'Population Definitions'!$A$5</f>
        <v>Females 15-24</v>
      </c>
      <c r="B5" t="s">
        <v>15</v>
      </c>
      <c r="C5" s="2">
        <v>0</v>
      </c>
      <c r="D5" s="3" t="s">
        <v>6</v>
      </c>
      <c r="E5" s="2"/>
      <c r="F5" s="2"/>
      <c r="G5" s="2"/>
    </row>
    <row r="6" spans="1:7" x14ac:dyDescent="0.2">
      <c r="A6" s="1" t="str">
        <f>'Population Definitions'!$A$6</f>
        <v>Males 25-34</v>
      </c>
      <c r="B6" t="s">
        <v>15</v>
      </c>
      <c r="C6" s="2">
        <v>0</v>
      </c>
      <c r="D6" s="3" t="s">
        <v>6</v>
      </c>
      <c r="E6" s="2"/>
      <c r="F6" s="2"/>
      <c r="G6" s="2"/>
    </row>
    <row r="7" spans="1:7" x14ac:dyDescent="0.2">
      <c r="A7" s="1" t="str">
        <f>'Population Definitions'!$A$7</f>
        <v>Females 25-34</v>
      </c>
      <c r="B7" t="s">
        <v>15</v>
      </c>
      <c r="C7" s="2">
        <v>0</v>
      </c>
      <c r="D7" s="3" t="s">
        <v>6</v>
      </c>
      <c r="E7" s="2"/>
      <c r="F7" s="2"/>
      <c r="G7" s="2"/>
    </row>
    <row r="8" spans="1:7" x14ac:dyDescent="0.2">
      <c r="A8" s="1" t="str">
        <f>'Population Definitions'!$A$8</f>
        <v>Males 35-49</v>
      </c>
      <c r="B8" t="s">
        <v>15</v>
      </c>
      <c r="C8" s="2">
        <v>0</v>
      </c>
      <c r="D8" s="3" t="s">
        <v>6</v>
      </c>
      <c r="E8" s="2"/>
      <c r="F8" s="2"/>
      <c r="G8" s="2"/>
    </row>
    <row r="9" spans="1:7" x14ac:dyDescent="0.2">
      <c r="A9" s="1" t="str">
        <f>'Population Definitions'!$A$9</f>
        <v>Females 35-49</v>
      </c>
      <c r="B9" t="s">
        <v>15</v>
      </c>
      <c r="C9" s="2">
        <v>0</v>
      </c>
      <c r="D9" s="3" t="s">
        <v>6</v>
      </c>
      <c r="E9" s="2"/>
      <c r="F9" s="2"/>
      <c r="G9" s="2"/>
    </row>
    <row r="10" spans="1:7" x14ac:dyDescent="0.2">
      <c r="A10" s="1" t="str">
        <f>'Population Definitions'!$A$10</f>
        <v>Males 50+</v>
      </c>
      <c r="B10" t="s">
        <v>15</v>
      </c>
      <c r="C10" s="2">
        <v>0</v>
      </c>
      <c r="D10" s="3" t="s">
        <v>6</v>
      </c>
      <c r="E10" s="2"/>
      <c r="F10" s="2"/>
      <c r="G10" s="2"/>
    </row>
    <row r="11" spans="1:7" x14ac:dyDescent="0.2">
      <c r="A11" s="1" t="str">
        <f>'Population Definitions'!$A$11</f>
        <v>Females 50+</v>
      </c>
      <c r="B11" t="s">
        <v>15</v>
      </c>
      <c r="C11" s="2">
        <v>0</v>
      </c>
      <c r="D11" s="3" t="s">
        <v>6</v>
      </c>
      <c r="E11" s="2"/>
      <c r="F11" s="2"/>
      <c r="G11" s="2"/>
    </row>
    <row r="13" spans="1:7" x14ac:dyDescent="0.2">
      <c r="A13" s="1" t="s">
        <v>53</v>
      </c>
      <c r="B13" s="1" t="s">
        <v>3</v>
      </c>
      <c r="C13" s="1" t="s">
        <v>4</v>
      </c>
      <c r="D13" s="1"/>
      <c r="E13" s="1">
        <v>2017</v>
      </c>
      <c r="F13" s="1">
        <v>2018</v>
      </c>
      <c r="G13" s="1">
        <v>2019</v>
      </c>
    </row>
    <row r="14" spans="1:7" x14ac:dyDescent="0.2">
      <c r="A14" s="1" t="str">
        <f>'Population Definitions'!$A$2</f>
        <v>Males 0-14</v>
      </c>
      <c r="B14" t="s">
        <v>5</v>
      </c>
      <c r="C14" s="2"/>
      <c r="D14" s="3" t="s">
        <v>6</v>
      </c>
      <c r="E14" s="2">
        <f>'#ignore - Misc calcs'!P40</f>
        <v>9724</v>
      </c>
      <c r="F14" s="2"/>
      <c r="G14" s="2"/>
    </row>
    <row r="15" spans="1:7" x14ac:dyDescent="0.2">
      <c r="A15" s="1" t="str">
        <f>'Population Definitions'!$A$3</f>
        <v>Females 0-14</v>
      </c>
      <c r="B15" t="s">
        <v>5</v>
      </c>
      <c r="C15" s="2"/>
      <c r="D15" s="3" t="s">
        <v>6</v>
      </c>
      <c r="E15" s="2">
        <f>'#ignore - Misc calcs'!P41</f>
        <v>13843</v>
      </c>
      <c r="F15" s="2"/>
      <c r="G15" s="2"/>
    </row>
    <row r="16" spans="1:7" x14ac:dyDescent="0.2">
      <c r="A16" s="1" t="str">
        <f>'Population Definitions'!$A$4</f>
        <v>Males 15-24</v>
      </c>
      <c r="B16" t="s">
        <v>5</v>
      </c>
      <c r="C16" s="2"/>
      <c r="D16" s="3" t="s">
        <v>6</v>
      </c>
      <c r="E16" s="2">
        <f>'#ignore - Misc calcs'!P42</f>
        <v>9951</v>
      </c>
      <c r="F16" s="2"/>
      <c r="G16" s="2"/>
    </row>
    <row r="17" spans="1:7" x14ac:dyDescent="0.2">
      <c r="A17" s="1" t="str">
        <f>'Population Definitions'!$A$5</f>
        <v>Females 15-24</v>
      </c>
      <c r="B17" t="s">
        <v>5</v>
      </c>
      <c r="C17" s="2"/>
      <c r="D17" s="3" t="s">
        <v>6</v>
      </c>
      <c r="E17" s="2">
        <f>'#ignore - Misc calcs'!P43</f>
        <v>27490</v>
      </c>
      <c r="F17" s="2"/>
      <c r="G17" s="2"/>
    </row>
    <row r="18" spans="1:7" x14ac:dyDescent="0.2">
      <c r="A18" s="1" t="str">
        <f>'Population Definitions'!$A$6</f>
        <v>Males 25-34</v>
      </c>
      <c r="B18" t="s">
        <v>5</v>
      </c>
      <c r="C18" s="2"/>
      <c r="D18" s="3" t="s">
        <v>6</v>
      </c>
      <c r="E18" s="2">
        <f>'#ignore - Misc calcs'!P44</f>
        <v>45076</v>
      </c>
      <c r="F18" s="2"/>
      <c r="G18" s="2"/>
    </row>
    <row r="19" spans="1:7" x14ac:dyDescent="0.2">
      <c r="A19" s="1" t="str">
        <f>'Population Definitions'!$A$7</f>
        <v>Females 25-34</v>
      </c>
      <c r="B19" t="s">
        <v>5</v>
      </c>
      <c r="C19" s="2"/>
      <c r="D19" s="3" t="s">
        <v>6</v>
      </c>
      <c r="E19" s="2">
        <f>'#ignore - Misc calcs'!P45</f>
        <v>51883</v>
      </c>
      <c r="F19" s="2"/>
      <c r="G19" s="2"/>
    </row>
    <row r="20" spans="1:7" x14ac:dyDescent="0.2">
      <c r="A20" s="1" t="str">
        <f>'Population Definitions'!$A$8</f>
        <v>Males 35-49</v>
      </c>
      <c r="B20" t="s">
        <v>5</v>
      </c>
      <c r="C20" s="2"/>
      <c r="D20" s="3" t="s">
        <v>6</v>
      </c>
      <c r="E20" s="2">
        <f>'#ignore - Misc calcs'!P46</f>
        <v>43248</v>
      </c>
      <c r="F20" s="2"/>
      <c r="G20" s="2"/>
    </row>
    <row r="21" spans="1:7" x14ac:dyDescent="0.2">
      <c r="A21" s="1" t="str">
        <f>'Population Definitions'!$A$9</f>
        <v>Females 35-49</v>
      </c>
      <c r="B21" t="s">
        <v>5</v>
      </c>
      <c r="C21" s="2"/>
      <c r="D21" s="3" t="s">
        <v>6</v>
      </c>
      <c r="E21" s="2">
        <f>'#ignore - Misc calcs'!P47</f>
        <v>43683</v>
      </c>
      <c r="F21" s="2"/>
      <c r="G21" s="2"/>
    </row>
    <row r="22" spans="1:7" x14ac:dyDescent="0.2">
      <c r="A22" s="1" t="str">
        <f>'Population Definitions'!$A$10</f>
        <v>Males 50+</v>
      </c>
      <c r="B22" t="s">
        <v>5</v>
      </c>
      <c r="C22" s="2"/>
      <c r="D22" s="3" t="s">
        <v>6</v>
      </c>
      <c r="E22" s="2">
        <f>'#ignore - Misc calcs'!P48</f>
        <v>13013</v>
      </c>
      <c r="F22" s="2"/>
      <c r="G22" s="2"/>
    </row>
    <row r="23" spans="1:7" x14ac:dyDescent="0.2">
      <c r="A23" s="1" t="str">
        <f>'Population Definitions'!$A$11</f>
        <v>Females 50+</v>
      </c>
      <c r="B23" t="s">
        <v>5</v>
      </c>
      <c r="C23" s="2"/>
      <c r="D23" s="3" t="s">
        <v>6</v>
      </c>
      <c r="E23" s="2">
        <f>'#ignore - Misc calcs'!P49</f>
        <v>12089</v>
      </c>
      <c r="F23" s="2"/>
      <c r="G23" s="2"/>
    </row>
    <row r="25" spans="1:7" x14ac:dyDescent="0.2">
      <c r="A25" s="1" t="s">
        <v>16</v>
      </c>
      <c r="B25" s="1" t="s">
        <v>3</v>
      </c>
      <c r="C25" s="1" t="s">
        <v>4</v>
      </c>
      <c r="D25" s="1"/>
      <c r="E25" s="1">
        <v>2017</v>
      </c>
      <c r="F25" s="1">
        <v>2018</v>
      </c>
      <c r="G25" s="1">
        <v>2019</v>
      </c>
    </row>
    <row r="26" spans="1:7" x14ac:dyDescent="0.2">
      <c r="A26" s="1" t="str">
        <f>'Population Definitions'!$A$2</f>
        <v>Males 0-14</v>
      </c>
      <c r="B26" t="s">
        <v>5</v>
      </c>
      <c r="C26" s="2"/>
      <c r="D26" s="3" t="s">
        <v>6</v>
      </c>
      <c r="E26" s="2">
        <f>ROUND(Stocks!E14/SUM(Stocks!$E$14:$E$23)*10000000,0)</f>
        <v>245061</v>
      </c>
      <c r="F26" s="2"/>
      <c r="G26" s="2"/>
    </row>
    <row r="27" spans="1:7" x14ac:dyDescent="0.2">
      <c r="A27" s="1" t="str">
        <f>'Population Definitions'!$A$3</f>
        <v>Females 0-14</v>
      </c>
      <c r="B27" t="s">
        <v>5</v>
      </c>
      <c r="C27" s="2"/>
      <c r="D27" s="3" t="s">
        <v>6</v>
      </c>
      <c r="E27" s="2">
        <f>ROUND(Stocks!E15/SUM(Stocks!$E$14:$E$23)*10000000,0)</f>
        <v>305381</v>
      </c>
      <c r="F27" s="2"/>
      <c r="G27" s="2"/>
    </row>
    <row r="28" spans="1:7" x14ac:dyDescent="0.2">
      <c r="A28" s="1" t="str">
        <f>'Population Definitions'!$A$4</f>
        <v>Males 15-24</v>
      </c>
      <c r="B28" t="s">
        <v>5</v>
      </c>
      <c r="C28" s="2"/>
      <c r="D28" s="3" t="s">
        <v>6</v>
      </c>
      <c r="E28" s="2">
        <f>ROUND(Stocks!E16/SUM(Stocks!$E$14:$E$23)*10000000,0)</f>
        <v>275776</v>
      </c>
      <c r="F28" s="2"/>
      <c r="G28" s="2"/>
    </row>
    <row r="29" spans="1:7" x14ac:dyDescent="0.2">
      <c r="A29" s="1" t="str">
        <f>'Population Definitions'!$A$5</f>
        <v>Females 15-24</v>
      </c>
      <c r="B29" t="s">
        <v>5</v>
      </c>
      <c r="C29" s="2"/>
      <c r="D29" s="3" t="s">
        <v>6</v>
      </c>
      <c r="E29" s="2">
        <f>ROUND(Stocks!E17/SUM(Stocks!$E$14:$E$23)*10000000,0)</f>
        <v>636561</v>
      </c>
      <c r="F29" s="2"/>
      <c r="G29" s="2"/>
    </row>
    <row r="30" spans="1:7" x14ac:dyDescent="0.2">
      <c r="A30" s="1" t="str">
        <f>'Population Definitions'!$A$6</f>
        <v>Males 25-34</v>
      </c>
      <c r="B30" t="s">
        <v>5</v>
      </c>
      <c r="C30" s="2"/>
      <c r="D30" s="3" t="s">
        <v>6</v>
      </c>
      <c r="E30" s="2">
        <f>ROUND(Stocks!E18/SUM(Stocks!$E$14:$E$23)*10000000,0)</f>
        <v>1005303</v>
      </c>
      <c r="F30" s="2"/>
      <c r="G30" s="2"/>
    </row>
    <row r="31" spans="1:7" x14ac:dyDescent="0.2">
      <c r="A31" s="1" t="str">
        <f>'Population Definitions'!$A$7</f>
        <v>Females 25-34</v>
      </c>
      <c r="B31" t="s">
        <v>5</v>
      </c>
      <c r="C31" s="2"/>
      <c r="D31" s="3" t="s">
        <v>6</v>
      </c>
      <c r="E31" s="2">
        <f>ROUND(Stocks!E19/SUM(Stocks!$E$14:$E$23)*10000000,0)</f>
        <v>1992628</v>
      </c>
      <c r="F31" s="2"/>
      <c r="G31" s="2"/>
    </row>
    <row r="32" spans="1:7" x14ac:dyDescent="0.2">
      <c r="A32" s="1" t="str">
        <f>'Population Definitions'!$A$8</f>
        <v>Males 35-49</v>
      </c>
      <c r="B32" t="s">
        <v>5</v>
      </c>
      <c r="C32" s="2"/>
      <c r="D32" s="3" t="s">
        <v>6</v>
      </c>
      <c r="E32" s="2">
        <f>ROUND(Stocks!E20/SUM(Stocks!$E$14:$E$23)*10000000,0)</f>
        <v>1513604</v>
      </c>
      <c r="F32" s="2"/>
      <c r="G32" s="2"/>
    </row>
    <row r="33" spans="1:7" x14ac:dyDescent="0.2">
      <c r="A33" s="1" t="str">
        <f>'Population Definitions'!$A$9</f>
        <v>Females 35-49</v>
      </c>
      <c r="B33" t="s">
        <v>5</v>
      </c>
      <c r="C33" s="2"/>
      <c r="D33" s="3" t="s">
        <v>6</v>
      </c>
      <c r="E33" s="2">
        <f>ROUND(Stocks!E21/SUM(Stocks!$E$14:$E$23)*10000000,0)</f>
        <v>2289911</v>
      </c>
      <c r="F33" s="2"/>
      <c r="G33" s="2"/>
    </row>
    <row r="34" spans="1:7" x14ac:dyDescent="0.2">
      <c r="A34" s="1" t="str">
        <f>'Population Definitions'!$A$10</f>
        <v>Males 50+</v>
      </c>
      <c r="B34" t="s">
        <v>5</v>
      </c>
      <c r="C34" s="2"/>
      <c r="D34" s="3" t="s">
        <v>6</v>
      </c>
      <c r="E34" s="2">
        <f>ROUND(Stocks!E22/SUM(Stocks!$E$14:$E$23)*10000000,0)</f>
        <v>616750</v>
      </c>
      <c r="F34" s="2"/>
      <c r="G34" s="2"/>
    </row>
    <row r="35" spans="1:7" x14ac:dyDescent="0.2">
      <c r="A35" s="1" t="str">
        <f>'Population Definitions'!$A$11</f>
        <v>Females 50+</v>
      </c>
      <c r="B35" t="s">
        <v>5</v>
      </c>
      <c r="C35" s="2"/>
      <c r="D35" s="3" t="s">
        <v>6</v>
      </c>
      <c r="E35" s="2">
        <f>ROUND(Stocks!E23/SUM(Stocks!$E$14:$E$23)*10000000,0)</f>
        <v>1119024</v>
      </c>
      <c r="F35" s="2"/>
      <c r="G35" s="2"/>
    </row>
    <row r="37" spans="1:7" x14ac:dyDescent="0.2">
      <c r="A37" s="1" t="s">
        <v>17</v>
      </c>
      <c r="B37" s="1" t="s">
        <v>3</v>
      </c>
      <c r="C37" s="1" t="s">
        <v>4</v>
      </c>
      <c r="D37" s="1"/>
      <c r="E37" s="1">
        <v>2017</v>
      </c>
      <c r="F37" s="1">
        <v>2018</v>
      </c>
      <c r="G37" s="1">
        <v>2019</v>
      </c>
    </row>
    <row r="38" spans="1:7" x14ac:dyDescent="0.2">
      <c r="A38" s="1" t="str">
        <f>'Population Definitions'!$A$2</f>
        <v>Males 0-14</v>
      </c>
      <c r="B38" t="s">
        <v>18</v>
      </c>
      <c r="C38" s="6">
        <f>2%*'#ignore - Misc calcs'!$D$2</f>
        <v>3.6000000000000004E-2</v>
      </c>
      <c r="D38" s="3" t="s">
        <v>6</v>
      </c>
      <c r="E38" s="2"/>
      <c r="F38" s="2"/>
      <c r="G38" s="2"/>
    </row>
    <row r="39" spans="1:7" x14ac:dyDescent="0.2">
      <c r="A39" s="1" t="str">
        <f>'Population Definitions'!$A$3</f>
        <v>Females 0-14</v>
      </c>
      <c r="B39" t="s">
        <v>18</v>
      </c>
      <c r="C39" s="6">
        <f>'#ignore - Misc calcs'!$D$2*2%</f>
        <v>3.6000000000000004E-2</v>
      </c>
      <c r="D39" s="3" t="s">
        <v>6</v>
      </c>
      <c r="E39" s="2"/>
      <c r="F39" s="2"/>
      <c r="G39" s="2"/>
    </row>
    <row r="40" spans="1:7" x14ac:dyDescent="0.2">
      <c r="A40" s="1" t="str">
        <f>'Population Definitions'!$A$4</f>
        <v>Males 15-24</v>
      </c>
      <c r="B40" t="s">
        <v>18</v>
      </c>
      <c r="C40" s="6">
        <f>'#ignore - Misc calcs'!$D$2*5%</f>
        <v>9.0000000000000011E-2</v>
      </c>
      <c r="D40" s="3" t="s">
        <v>6</v>
      </c>
      <c r="E40" s="2"/>
      <c r="F40" s="2"/>
      <c r="G40" s="2"/>
    </row>
    <row r="41" spans="1:7" x14ac:dyDescent="0.2">
      <c r="A41" s="1" t="str">
        <f>'Population Definitions'!$A$5</f>
        <v>Females 15-24</v>
      </c>
      <c r="B41" t="s">
        <v>18</v>
      </c>
      <c r="C41" s="6">
        <f>'#ignore - Misc calcs'!$D$2*4%</f>
        <v>7.2000000000000008E-2</v>
      </c>
      <c r="D41" s="3" t="s">
        <v>6</v>
      </c>
      <c r="E41" s="2"/>
      <c r="F41" s="2"/>
      <c r="G41" s="2"/>
    </row>
    <row r="42" spans="1:7" x14ac:dyDescent="0.2">
      <c r="A42" s="1" t="str">
        <f>'Population Definitions'!$A$6</f>
        <v>Males 25-34</v>
      </c>
      <c r="B42" t="s">
        <v>18</v>
      </c>
      <c r="C42" s="6">
        <f>'#ignore - Misc calcs'!$D$2*8%</f>
        <v>0.14400000000000002</v>
      </c>
      <c r="D42" s="3" t="s">
        <v>6</v>
      </c>
      <c r="E42" s="2"/>
      <c r="F42" s="2"/>
      <c r="G42" s="2"/>
    </row>
    <row r="43" spans="1:7" x14ac:dyDescent="0.2">
      <c r="A43" s="1" t="str">
        <f>'Population Definitions'!$A$7</f>
        <v>Females 25-34</v>
      </c>
      <c r="B43" t="s">
        <v>18</v>
      </c>
      <c r="C43" s="6">
        <f>'#ignore - Misc calcs'!$D$2*6%</f>
        <v>0.108</v>
      </c>
      <c r="D43" s="3" t="s">
        <v>6</v>
      </c>
      <c r="E43" s="2"/>
      <c r="F43" s="2"/>
      <c r="G43" s="2"/>
    </row>
    <row r="44" spans="1:7" x14ac:dyDescent="0.2">
      <c r="A44" s="1" t="str">
        <f>'Population Definitions'!$A$8</f>
        <v>Males 35-49</v>
      </c>
      <c r="B44" t="s">
        <v>18</v>
      </c>
      <c r="C44" s="6">
        <f>'#ignore - Misc calcs'!$D$2*9%</f>
        <v>0.16200000000000001</v>
      </c>
      <c r="D44" s="3" t="s">
        <v>6</v>
      </c>
      <c r="E44" s="2"/>
      <c r="F44" s="2"/>
      <c r="G44" s="2"/>
    </row>
    <row r="45" spans="1:7" x14ac:dyDescent="0.2">
      <c r="A45" s="1" t="str">
        <f>'Population Definitions'!$A$9</f>
        <v>Females 35-49</v>
      </c>
      <c r="B45" t="s">
        <v>18</v>
      </c>
      <c r="C45" s="6">
        <f>'#ignore - Misc calcs'!$D$2*5%</f>
        <v>9.0000000000000011E-2</v>
      </c>
      <c r="D45" s="3" t="s">
        <v>6</v>
      </c>
      <c r="E45" s="2"/>
      <c r="F45" s="2"/>
      <c r="G45" s="2"/>
    </row>
    <row r="46" spans="1:7" x14ac:dyDescent="0.2">
      <c r="A46" s="1" t="str">
        <f>'Population Definitions'!$A$10</f>
        <v>Males 50+</v>
      </c>
      <c r="B46" t="s">
        <v>18</v>
      </c>
      <c r="C46" s="6">
        <f>'#ignore - Misc calcs'!$D$2*8%</f>
        <v>0.14400000000000002</v>
      </c>
      <c r="D46" s="3" t="s">
        <v>6</v>
      </c>
      <c r="E46" s="2"/>
      <c r="F46" s="2"/>
      <c r="G46" s="2"/>
    </row>
    <row r="47" spans="1:7" x14ac:dyDescent="0.2">
      <c r="A47" s="1" t="str">
        <f>'Population Definitions'!$A$11</f>
        <v>Females 50+</v>
      </c>
      <c r="B47" t="s">
        <v>18</v>
      </c>
      <c r="C47" s="6">
        <f>'#ignore - Misc calcs'!$D$2*5%</f>
        <v>9.0000000000000011E-2</v>
      </c>
      <c r="D47" s="3" t="s">
        <v>6</v>
      </c>
      <c r="E47" s="2"/>
      <c r="F47" s="2"/>
      <c r="G47" s="2"/>
    </row>
    <row r="49" spans="1:7" x14ac:dyDescent="0.2">
      <c r="A49" s="1" t="s">
        <v>19</v>
      </c>
      <c r="B49" s="1" t="s">
        <v>3</v>
      </c>
      <c r="C49" s="1" t="s">
        <v>4</v>
      </c>
      <c r="D49" s="1"/>
      <c r="E49" s="1">
        <v>2017</v>
      </c>
      <c r="F49" s="1">
        <v>2018</v>
      </c>
      <c r="G49" s="1">
        <v>2019</v>
      </c>
    </row>
    <row r="50" spans="1:7" x14ac:dyDescent="0.2">
      <c r="A50" s="1" t="str">
        <f>'Population Definitions'!$A$2</f>
        <v>Males 0-14</v>
      </c>
      <c r="B50" t="s">
        <v>20</v>
      </c>
      <c r="C50" s="2"/>
      <c r="D50" s="3" t="s">
        <v>6</v>
      </c>
      <c r="E50" s="6">
        <f>2%*'#ignore - Misc calcs'!$D$2</f>
        <v>3.6000000000000004E-2</v>
      </c>
      <c r="F50" s="2"/>
      <c r="G50" s="2"/>
    </row>
    <row r="51" spans="1:7" x14ac:dyDescent="0.2">
      <c r="A51" s="1" t="str">
        <f>'Population Definitions'!$A$3</f>
        <v>Females 0-14</v>
      </c>
      <c r="B51" t="s">
        <v>20</v>
      </c>
      <c r="C51" s="2"/>
      <c r="D51" s="3" t="s">
        <v>6</v>
      </c>
      <c r="E51" s="6">
        <f>'#ignore - Misc calcs'!$D$2*2%</f>
        <v>3.6000000000000004E-2</v>
      </c>
      <c r="F51" s="2"/>
      <c r="G51" s="2"/>
    </row>
    <row r="52" spans="1:7" x14ac:dyDescent="0.2">
      <c r="A52" s="1" t="str">
        <f>'Population Definitions'!$A$4</f>
        <v>Males 15-24</v>
      </c>
      <c r="B52" t="s">
        <v>20</v>
      </c>
      <c r="C52" s="2"/>
      <c r="D52" s="3" t="s">
        <v>6</v>
      </c>
      <c r="E52" s="6">
        <f>'#ignore - Misc calcs'!$D$2*5%</f>
        <v>9.0000000000000011E-2</v>
      </c>
      <c r="F52" s="2"/>
      <c r="G52" s="2"/>
    </row>
    <row r="53" spans="1:7" x14ac:dyDescent="0.2">
      <c r="A53" s="1" t="str">
        <f>'Population Definitions'!$A$5</f>
        <v>Females 15-24</v>
      </c>
      <c r="B53" t="s">
        <v>20</v>
      </c>
      <c r="C53" s="2"/>
      <c r="D53" s="3" t="s">
        <v>6</v>
      </c>
      <c r="E53" s="6">
        <f>'#ignore - Misc calcs'!$D$2*4%</f>
        <v>7.2000000000000008E-2</v>
      </c>
      <c r="F53" s="2"/>
      <c r="G53" s="2"/>
    </row>
    <row r="54" spans="1:7" x14ac:dyDescent="0.2">
      <c r="A54" s="1" t="str">
        <f>'Population Definitions'!$A$6</f>
        <v>Males 25-34</v>
      </c>
      <c r="B54" t="s">
        <v>20</v>
      </c>
      <c r="C54" s="2"/>
      <c r="D54" s="3" t="s">
        <v>6</v>
      </c>
      <c r="E54" s="6">
        <f>'#ignore - Misc calcs'!$D$2*8%</f>
        <v>0.14400000000000002</v>
      </c>
      <c r="F54" s="2"/>
      <c r="G54" s="2"/>
    </row>
    <row r="55" spans="1:7" x14ac:dyDescent="0.2">
      <c r="A55" s="1" t="str">
        <f>'Population Definitions'!$A$7</f>
        <v>Females 25-34</v>
      </c>
      <c r="B55" t="s">
        <v>20</v>
      </c>
      <c r="C55" s="2"/>
      <c r="D55" s="3" t="s">
        <v>6</v>
      </c>
      <c r="E55" s="6">
        <f>'#ignore - Misc calcs'!$D$2*6%</f>
        <v>0.108</v>
      </c>
      <c r="F55" s="2"/>
      <c r="G55" s="2"/>
    </row>
    <row r="56" spans="1:7" x14ac:dyDescent="0.2">
      <c r="A56" s="1" t="str">
        <f>'Population Definitions'!$A$8</f>
        <v>Males 35-49</v>
      </c>
      <c r="B56" t="s">
        <v>20</v>
      </c>
      <c r="C56" s="2"/>
      <c r="D56" s="3" t="s">
        <v>6</v>
      </c>
      <c r="E56" s="6">
        <f>'#ignore - Misc calcs'!$D$2*9%</f>
        <v>0.16200000000000001</v>
      </c>
      <c r="F56" s="2"/>
      <c r="G56" s="2"/>
    </row>
    <row r="57" spans="1:7" x14ac:dyDescent="0.2">
      <c r="A57" s="1" t="str">
        <f>'Population Definitions'!$A$9</f>
        <v>Females 35-49</v>
      </c>
      <c r="B57" t="s">
        <v>20</v>
      </c>
      <c r="C57" s="2"/>
      <c r="D57" s="3" t="s">
        <v>6</v>
      </c>
      <c r="E57" s="6">
        <f>'#ignore - Misc calcs'!$D$2*5%</f>
        <v>9.0000000000000011E-2</v>
      </c>
      <c r="F57" s="2"/>
      <c r="G57" s="2"/>
    </row>
    <row r="58" spans="1:7" x14ac:dyDescent="0.2">
      <c r="A58" s="1" t="str">
        <f>'Population Definitions'!$A$10</f>
        <v>Males 50+</v>
      </c>
      <c r="B58" t="s">
        <v>20</v>
      </c>
      <c r="C58" s="2"/>
      <c r="D58" s="3" t="s">
        <v>6</v>
      </c>
      <c r="E58" s="6">
        <f>'#ignore - Misc calcs'!$D$2*8%</f>
        <v>0.14400000000000002</v>
      </c>
      <c r="F58" s="2"/>
      <c r="G58" s="2"/>
    </row>
    <row r="59" spans="1:7" x14ac:dyDescent="0.2">
      <c r="A59" s="1" t="str">
        <f>'Population Definitions'!$A$11</f>
        <v>Females 50+</v>
      </c>
      <c r="B59" t="s">
        <v>20</v>
      </c>
      <c r="C59" s="2"/>
      <c r="D59" s="3" t="s">
        <v>6</v>
      </c>
      <c r="E59" s="6">
        <f>'#ignore - Misc calcs'!$D$2*5%</f>
        <v>9.0000000000000011E-2</v>
      </c>
      <c r="F59" s="2"/>
      <c r="G59" s="2"/>
    </row>
    <row r="61" spans="1:7" x14ac:dyDescent="0.2">
      <c r="A61" s="1" t="s">
        <v>21</v>
      </c>
      <c r="B61" s="1" t="s">
        <v>3</v>
      </c>
      <c r="C61" s="1" t="s">
        <v>4</v>
      </c>
      <c r="D61" s="1"/>
      <c r="E61" s="1">
        <v>2017</v>
      </c>
      <c r="F61" s="1">
        <v>2018</v>
      </c>
      <c r="G61" s="1">
        <v>2019</v>
      </c>
    </row>
    <row r="62" spans="1:7" x14ac:dyDescent="0.2">
      <c r="A62" s="1" t="str">
        <f>'Population Definitions'!$A$2</f>
        <v>Males 0-14</v>
      </c>
      <c r="B62" t="s">
        <v>15</v>
      </c>
      <c r="C62" s="2"/>
      <c r="D62" s="3" t="s">
        <v>6</v>
      </c>
      <c r="E62" s="2">
        <f>ROUND(Stocks!E74/SUM(Stocks!$E$74:$E$83)*738893,0)</f>
        <v>16232</v>
      </c>
      <c r="F62" s="2"/>
      <c r="G62" s="2"/>
    </row>
    <row r="63" spans="1:7" x14ac:dyDescent="0.2">
      <c r="A63" s="1" t="str">
        <f>'Population Definitions'!$A$3</f>
        <v>Females 0-14</v>
      </c>
      <c r="B63" t="s">
        <v>15</v>
      </c>
      <c r="C63" s="2"/>
      <c r="D63" s="3" t="s">
        <v>6</v>
      </c>
      <c r="E63" s="2">
        <f>ROUND(Stocks!E75/SUM(Stocks!$E$74:$E$83)*738893,0)</f>
        <v>17379</v>
      </c>
      <c r="F63" s="2"/>
      <c r="G63" s="2"/>
    </row>
    <row r="64" spans="1:7" x14ac:dyDescent="0.2">
      <c r="A64" s="1" t="str">
        <f>'Population Definitions'!$A$4</f>
        <v>Males 15-24</v>
      </c>
      <c r="B64" t="s">
        <v>15</v>
      </c>
      <c r="C64" s="2"/>
      <c r="D64" s="3" t="s">
        <v>6</v>
      </c>
      <c r="E64" s="2">
        <f>ROUND(Stocks!E76/SUM(Stocks!$E$74:$E$83)*738893,0)</f>
        <v>15987</v>
      </c>
      <c r="F64" s="2"/>
      <c r="G64" s="2"/>
    </row>
    <row r="65" spans="1:7" x14ac:dyDescent="0.2">
      <c r="A65" s="1" t="str">
        <f>'Population Definitions'!$A$5</f>
        <v>Females 15-24</v>
      </c>
      <c r="B65" t="s">
        <v>15</v>
      </c>
      <c r="C65" s="2"/>
      <c r="D65" s="3" t="s">
        <v>6</v>
      </c>
      <c r="E65" s="2">
        <f>ROUND(Stocks!E77/SUM(Stocks!$E$74:$E$83)*738893,0)</f>
        <v>35399</v>
      </c>
      <c r="F65" s="2"/>
      <c r="G65" s="2"/>
    </row>
    <row r="66" spans="1:7" x14ac:dyDescent="0.2">
      <c r="A66" s="1" t="str">
        <f>'Population Definitions'!$A$6</f>
        <v>Males 25-34</v>
      </c>
      <c r="B66" t="s">
        <v>15</v>
      </c>
      <c r="C66" s="2"/>
      <c r="D66" s="3" t="s">
        <v>6</v>
      </c>
      <c r="E66" s="2">
        <f>ROUND(Stocks!E78/SUM(Stocks!$E$74:$E$83)*738893,0)</f>
        <v>49257</v>
      </c>
      <c r="F66" s="2"/>
      <c r="G66" s="2"/>
    </row>
    <row r="67" spans="1:7" x14ac:dyDescent="0.2">
      <c r="A67" s="1" t="str">
        <f>'Population Definitions'!$A$7</f>
        <v>Females 25-34</v>
      </c>
      <c r="B67" t="s">
        <v>15</v>
      </c>
      <c r="C67" s="2"/>
      <c r="D67" s="3" t="s">
        <v>6</v>
      </c>
      <c r="E67" s="2">
        <f>ROUND(Stocks!E79/SUM(Stocks!$E$74:$E$83)*738893,0)</f>
        <v>161155</v>
      </c>
      <c r="F67" s="2"/>
      <c r="G67" s="2"/>
    </row>
    <row r="68" spans="1:7" x14ac:dyDescent="0.2">
      <c r="A68" s="1" t="str">
        <f>'Population Definitions'!$A$8</f>
        <v>Males 35-49</v>
      </c>
      <c r="B68" t="s">
        <v>15</v>
      </c>
      <c r="C68" s="2"/>
      <c r="D68" s="3" t="s">
        <v>6</v>
      </c>
      <c r="E68" s="2">
        <f>ROUND(Stocks!E80/SUM(Stocks!$E$74:$E$83)*738893,0)</f>
        <v>103041</v>
      </c>
      <c r="F68" s="2"/>
      <c r="G68" s="2"/>
    </row>
    <row r="69" spans="1:7" x14ac:dyDescent="0.2">
      <c r="A69" s="1" t="str">
        <f>'Population Definitions'!$A$9</f>
        <v>Females 35-49</v>
      </c>
      <c r="B69" t="s">
        <v>15</v>
      </c>
      <c r="C69" s="2"/>
      <c r="D69" s="3" t="s">
        <v>6</v>
      </c>
      <c r="E69" s="2">
        <f>ROUND(Stocks!E81/SUM(Stocks!$E$74:$E$83)*738893,0)</f>
        <v>190741</v>
      </c>
      <c r="F69" s="2"/>
      <c r="G69" s="2"/>
    </row>
    <row r="70" spans="1:7" x14ac:dyDescent="0.2">
      <c r="A70" s="1" t="str">
        <f>'Population Definitions'!$A$10</f>
        <v>Males 50+</v>
      </c>
      <c r="B70" t="s">
        <v>15</v>
      </c>
      <c r="C70" s="2"/>
      <c r="D70" s="3" t="s">
        <v>6</v>
      </c>
      <c r="E70" s="2">
        <f>ROUND(Stocks!E82/SUM(Stocks!$E$74:$E$83)*738893,0)</f>
        <v>55633</v>
      </c>
      <c r="F70" s="2"/>
      <c r="G70" s="2"/>
    </row>
    <row r="71" spans="1:7" x14ac:dyDescent="0.2">
      <c r="A71" s="1" t="str">
        <f>'Population Definitions'!$A$11</f>
        <v>Females 50+</v>
      </c>
      <c r="B71" t="s">
        <v>15</v>
      </c>
      <c r="C71" s="2"/>
      <c r="D71" s="3" t="s">
        <v>6</v>
      </c>
      <c r="E71" s="2">
        <f>ROUND(Stocks!E83/SUM(Stocks!$E$74:$E$83)*738893,0)</f>
        <v>94069</v>
      </c>
      <c r="F71" s="2"/>
      <c r="G71" s="2"/>
    </row>
    <row r="73" spans="1:7" x14ac:dyDescent="0.2">
      <c r="A73" s="1" t="s">
        <v>22</v>
      </c>
      <c r="B73" s="1" t="s">
        <v>3</v>
      </c>
      <c r="C73" s="1" t="s">
        <v>4</v>
      </c>
      <c r="D73" s="1"/>
      <c r="E73" s="1">
        <v>2017</v>
      </c>
      <c r="F73" s="1">
        <v>2018</v>
      </c>
      <c r="G73" s="1">
        <v>2019</v>
      </c>
    </row>
    <row r="74" spans="1:7" x14ac:dyDescent="0.2">
      <c r="A74" s="1" t="str">
        <f>'Population Definitions'!$A$2</f>
        <v>Males 0-14</v>
      </c>
      <c r="B74" t="s">
        <v>20</v>
      </c>
      <c r="C74" s="2"/>
      <c r="D74" s="3" t="s">
        <v>6</v>
      </c>
      <c r="E74" s="6">
        <f>2%*'#ignore - Misc calcs'!$D$2</f>
        <v>3.6000000000000004E-2</v>
      </c>
      <c r="F74" s="2"/>
      <c r="G74" s="2"/>
    </row>
    <row r="75" spans="1:7" x14ac:dyDescent="0.2">
      <c r="A75" s="1" t="str">
        <f>'Population Definitions'!$A$3</f>
        <v>Females 0-14</v>
      </c>
      <c r="B75" t="s">
        <v>20</v>
      </c>
      <c r="C75" s="2"/>
      <c r="D75" s="3" t="s">
        <v>6</v>
      </c>
      <c r="E75" s="6">
        <f>'#ignore - Misc calcs'!$D$2*2%</f>
        <v>3.6000000000000004E-2</v>
      </c>
      <c r="F75" s="2"/>
      <c r="G75" s="2"/>
    </row>
    <row r="76" spans="1:7" x14ac:dyDescent="0.2">
      <c r="A76" s="1" t="str">
        <f>'Population Definitions'!$A$4</f>
        <v>Males 15-24</v>
      </c>
      <c r="B76" t="s">
        <v>20</v>
      </c>
      <c r="C76" s="2"/>
      <c r="D76" s="3" t="s">
        <v>6</v>
      </c>
      <c r="E76" s="6">
        <f>'#ignore - Misc calcs'!$D$2*5%</f>
        <v>9.0000000000000011E-2</v>
      </c>
      <c r="F76" s="2"/>
      <c r="G76" s="2"/>
    </row>
    <row r="77" spans="1:7" x14ac:dyDescent="0.2">
      <c r="A77" s="1" t="str">
        <f>'Population Definitions'!$A$5</f>
        <v>Females 15-24</v>
      </c>
      <c r="B77" t="s">
        <v>20</v>
      </c>
      <c r="C77" s="2"/>
      <c r="D77" s="3" t="s">
        <v>6</v>
      </c>
      <c r="E77" s="6">
        <f>'#ignore - Misc calcs'!$D$2*4%</f>
        <v>7.2000000000000008E-2</v>
      </c>
      <c r="F77" s="2"/>
      <c r="G77" s="2"/>
    </row>
    <row r="78" spans="1:7" x14ac:dyDescent="0.2">
      <c r="A78" s="1" t="str">
        <f>'Population Definitions'!$A$6</f>
        <v>Males 25-34</v>
      </c>
      <c r="B78" t="s">
        <v>20</v>
      </c>
      <c r="C78" s="2"/>
      <c r="D78" s="3" t="s">
        <v>6</v>
      </c>
      <c r="E78" s="6">
        <f>'#ignore - Misc calcs'!$D$2*8%</f>
        <v>0.14400000000000002</v>
      </c>
      <c r="F78" s="2"/>
      <c r="G78" s="2"/>
    </row>
    <row r="79" spans="1:7" x14ac:dyDescent="0.2">
      <c r="A79" s="1" t="str">
        <f>'Population Definitions'!$A$7</f>
        <v>Females 25-34</v>
      </c>
      <c r="B79" t="s">
        <v>20</v>
      </c>
      <c r="C79" s="2"/>
      <c r="D79" s="3" t="s">
        <v>6</v>
      </c>
      <c r="E79" s="6">
        <f>'#ignore - Misc calcs'!$D$2*6%</f>
        <v>0.108</v>
      </c>
      <c r="F79" s="2"/>
      <c r="G79" s="2"/>
    </row>
    <row r="80" spans="1:7" x14ac:dyDescent="0.2">
      <c r="A80" s="1" t="str">
        <f>'Population Definitions'!$A$8</f>
        <v>Males 35-49</v>
      </c>
      <c r="B80" t="s">
        <v>20</v>
      </c>
      <c r="C80" s="2"/>
      <c r="D80" s="3" t="s">
        <v>6</v>
      </c>
      <c r="E80" s="6">
        <f>'#ignore - Misc calcs'!$D$2*9%</f>
        <v>0.16200000000000001</v>
      </c>
      <c r="F80" s="2"/>
      <c r="G80" s="2"/>
    </row>
    <row r="81" spans="1:7" x14ac:dyDescent="0.2">
      <c r="A81" s="1" t="str">
        <f>'Population Definitions'!$A$9</f>
        <v>Females 35-49</v>
      </c>
      <c r="B81" t="s">
        <v>20</v>
      </c>
      <c r="C81" s="2"/>
      <c r="D81" s="3" t="s">
        <v>6</v>
      </c>
      <c r="E81" s="6">
        <f>'#ignore - Misc calcs'!$D$2*5%</f>
        <v>9.0000000000000011E-2</v>
      </c>
      <c r="F81" s="2"/>
      <c r="G81" s="2"/>
    </row>
    <row r="82" spans="1:7" x14ac:dyDescent="0.2">
      <c r="A82" s="1" t="str">
        <f>'Population Definitions'!$A$10</f>
        <v>Males 50+</v>
      </c>
      <c r="B82" t="s">
        <v>20</v>
      </c>
      <c r="C82" s="2"/>
      <c r="D82" s="3" t="s">
        <v>6</v>
      </c>
      <c r="E82" s="6">
        <f>'#ignore - Misc calcs'!$D$2*8%</f>
        <v>0.14400000000000002</v>
      </c>
      <c r="F82" s="2"/>
      <c r="G82" s="2"/>
    </row>
    <row r="83" spans="1:7" x14ac:dyDescent="0.2">
      <c r="A83" s="1" t="str">
        <f>'Population Definitions'!$A$11</f>
        <v>Females 50+</v>
      </c>
      <c r="B83" t="s">
        <v>20</v>
      </c>
      <c r="C83" s="2"/>
      <c r="D83" s="3" t="s">
        <v>6</v>
      </c>
      <c r="E83" s="6">
        <f>'#ignore - Misc calcs'!$D$2*5%</f>
        <v>9.0000000000000011E-2</v>
      </c>
      <c r="F83" s="2"/>
      <c r="G83" s="2"/>
    </row>
    <row r="85" spans="1:7" x14ac:dyDescent="0.2">
      <c r="A85" s="1" t="s">
        <v>23</v>
      </c>
      <c r="B85" s="1" t="s">
        <v>3</v>
      </c>
      <c r="C85" s="1" t="s">
        <v>4</v>
      </c>
      <c r="D85" s="1"/>
      <c r="E85" s="1">
        <v>2017</v>
      </c>
      <c r="F85" s="1">
        <v>2018</v>
      </c>
      <c r="G85" s="1">
        <v>2019</v>
      </c>
    </row>
    <row r="86" spans="1:7" x14ac:dyDescent="0.2">
      <c r="A86" s="1" t="str">
        <f>'Population Definitions'!$A$2</f>
        <v>Males 0-14</v>
      </c>
      <c r="B86" t="s">
        <v>20</v>
      </c>
      <c r="C86" s="2"/>
      <c r="D86" s="3" t="s">
        <v>6</v>
      </c>
      <c r="E86" s="6">
        <v>0.12</v>
      </c>
      <c r="F86" s="2"/>
      <c r="G86" s="2"/>
    </row>
    <row r="87" spans="1:7" x14ac:dyDescent="0.2">
      <c r="A87" s="1" t="str">
        <f>'Population Definitions'!$A$3</f>
        <v>Females 0-14</v>
      </c>
      <c r="B87" t="s">
        <v>20</v>
      </c>
      <c r="C87" s="2"/>
      <c r="D87" s="3" t="s">
        <v>6</v>
      </c>
      <c r="E87" s="6">
        <v>0.12</v>
      </c>
      <c r="F87" s="2"/>
      <c r="G87" s="2"/>
    </row>
    <row r="88" spans="1:7" x14ac:dyDescent="0.2">
      <c r="A88" s="1" t="str">
        <f>'Population Definitions'!$A$4</f>
        <v>Males 15-24</v>
      </c>
      <c r="B88" t="s">
        <v>20</v>
      </c>
      <c r="C88" s="2"/>
      <c r="D88" s="3" t="s">
        <v>6</v>
      </c>
      <c r="E88" s="6">
        <v>0.15</v>
      </c>
      <c r="F88" s="2"/>
      <c r="G88" s="2"/>
    </row>
    <row r="89" spans="1:7" x14ac:dyDescent="0.2">
      <c r="A89" s="1" t="str">
        <f>'Population Definitions'!$A$5</f>
        <v>Females 15-24</v>
      </c>
      <c r="B89" t="s">
        <v>20</v>
      </c>
      <c r="C89" s="2"/>
      <c r="D89" s="3" t="s">
        <v>6</v>
      </c>
      <c r="E89" s="6">
        <v>0.14000000000000001</v>
      </c>
      <c r="F89" s="2"/>
      <c r="G89" s="2"/>
    </row>
    <row r="90" spans="1:7" x14ac:dyDescent="0.2">
      <c r="A90" s="1" t="str">
        <f>'Population Definitions'!$A$6</f>
        <v>Males 25-34</v>
      </c>
      <c r="B90" t="s">
        <v>20</v>
      </c>
      <c r="C90" s="2"/>
      <c r="D90" s="3" t="s">
        <v>6</v>
      </c>
      <c r="E90" s="6">
        <v>0.18</v>
      </c>
      <c r="F90" s="2"/>
      <c r="G90" s="2"/>
    </row>
    <row r="91" spans="1:7" x14ac:dyDescent="0.2">
      <c r="A91" s="1" t="str">
        <f>'Population Definitions'!$A$7</f>
        <v>Females 25-34</v>
      </c>
      <c r="B91" t="s">
        <v>20</v>
      </c>
      <c r="C91" s="2"/>
      <c r="D91" s="3" t="s">
        <v>6</v>
      </c>
      <c r="E91" s="6">
        <v>0.16</v>
      </c>
      <c r="F91" s="2"/>
      <c r="G91" s="2"/>
    </row>
    <row r="92" spans="1:7" x14ac:dyDescent="0.2">
      <c r="A92" s="1" t="str">
        <f>'Population Definitions'!$A$8</f>
        <v>Males 35-49</v>
      </c>
      <c r="B92" t="s">
        <v>20</v>
      </c>
      <c r="C92" s="2"/>
      <c r="D92" s="3" t="s">
        <v>6</v>
      </c>
      <c r="E92" s="6">
        <v>0.19</v>
      </c>
      <c r="F92" s="2"/>
      <c r="G92" s="2"/>
    </row>
    <row r="93" spans="1:7" x14ac:dyDescent="0.2">
      <c r="A93" s="1" t="str">
        <f>'Population Definitions'!$A$9</f>
        <v>Females 35-49</v>
      </c>
      <c r="B93" t="s">
        <v>20</v>
      </c>
      <c r="C93" s="2"/>
      <c r="D93" s="3" t="s">
        <v>6</v>
      </c>
      <c r="E93" s="6">
        <v>0.15</v>
      </c>
      <c r="F93" s="2"/>
      <c r="G93" s="2"/>
    </row>
    <row r="94" spans="1:7" x14ac:dyDescent="0.2">
      <c r="A94" s="1" t="str">
        <f>'Population Definitions'!$A$10</f>
        <v>Males 50+</v>
      </c>
      <c r="B94" t="s">
        <v>20</v>
      </c>
      <c r="C94" s="2"/>
      <c r="D94" s="3" t="s">
        <v>6</v>
      </c>
      <c r="E94" s="6">
        <v>0.18</v>
      </c>
      <c r="F94" s="2"/>
      <c r="G94" s="2"/>
    </row>
    <row r="95" spans="1:7" x14ac:dyDescent="0.2">
      <c r="A95" s="1" t="str">
        <f>'Population Definitions'!$A$11</f>
        <v>Females 50+</v>
      </c>
      <c r="B95" t="s">
        <v>20</v>
      </c>
      <c r="C95" s="2"/>
      <c r="D95" s="3" t="s">
        <v>6</v>
      </c>
      <c r="E95" s="6">
        <v>0.15</v>
      </c>
      <c r="F95" s="2"/>
      <c r="G95" s="2"/>
    </row>
    <row r="97" spans="1:7" x14ac:dyDescent="0.2">
      <c r="A97" s="1" t="s">
        <v>24</v>
      </c>
      <c r="B97" s="1" t="s">
        <v>3</v>
      </c>
      <c r="C97" s="1" t="s">
        <v>4</v>
      </c>
      <c r="D97" s="1"/>
      <c r="E97" s="1">
        <v>2017</v>
      </c>
      <c r="F97" s="1">
        <v>2018</v>
      </c>
      <c r="G97" s="1">
        <v>2019</v>
      </c>
    </row>
    <row r="98" spans="1:7" x14ac:dyDescent="0.2">
      <c r="A98" s="1" t="str">
        <f>'Population Definitions'!$A$2</f>
        <v>Males 0-14</v>
      </c>
      <c r="B98" t="s">
        <v>20</v>
      </c>
      <c r="C98" s="2"/>
      <c r="D98" s="3" t="s">
        <v>6</v>
      </c>
      <c r="E98" s="6">
        <f>2%*'#ignore - Misc calcs'!$D$2</f>
        <v>3.6000000000000004E-2</v>
      </c>
      <c r="F98" s="2"/>
      <c r="G98" s="2"/>
    </row>
    <row r="99" spans="1:7" x14ac:dyDescent="0.2">
      <c r="A99" s="1" t="str">
        <f>'Population Definitions'!$A$3</f>
        <v>Females 0-14</v>
      </c>
      <c r="B99" t="s">
        <v>20</v>
      </c>
      <c r="C99" s="2"/>
      <c r="D99" s="3" t="s">
        <v>6</v>
      </c>
      <c r="E99" s="6">
        <f>'#ignore - Misc calcs'!$D$2*2%</f>
        <v>3.6000000000000004E-2</v>
      </c>
      <c r="F99" s="2"/>
      <c r="G99" s="2"/>
    </row>
    <row r="100" spans="1:7" x14ac:dyDescent="0.2">
      <c r="A100" s="1" t="str">
        <f>'Population Definitions'!$A$4</f>
        <v>Males 15-24</v>
      </c>
      <c r="B100" t="s">
        <v>20</v>
      </c>
      <c r="C100" s="2"/>
      <c r="D100" s="3" t="s">
        <v>6</v>
      </c>
      <c r="E100" s="6">
        <f>'#ignore - Misc calcs'!$D$2*5%</f>
        <v>9.0000000000000011E-2</v>
      </c>
      <c r="F100" s="2"/>
      <c r="G100" s="2"/>
    </row>
    <row r="101" spans="1:7" x14ac:dyDescent="0.2">
      <c r="A101" s="1" t="str">
        <f>'Population Definitions'!$A$5</f>
        <v>Females 15-24</v>
      </c>
      <c r="B101" t="s">
        <v>20</v>
      </c>
      <c r="C101" s="2"/>
      <c r="D101" s="3" t="s">
        <v>6</v>
      </c>
      <c r="E101" s="6">
        <f>'#ignore - Misc calcs'!$D$2*4%</f>
        <v>7.2000000000000008E-2</v>
      </c>
      <c r="F101" s="2"/>
      <c r="G101" s="2"/>
    </row>
    <row r="102" spans="1:7" x14ac:dyDescent="0.2">
      <c r="A102" s="1" t="str">
        <f>'Population Definitions'!$A$6</f>
        <v>Males 25-34</v>
      </c>
      <c r="B102" t="s">
        <v>20</v>
      </c>
      <c r="C102" s="2"/>
      <c r="D102" s="3" t="s">
        <v>6</v>
      </c>
      <c r="E102" s="6">
        <f>'#ignore - Misc calcs'!$D$2*8%</f>
        <v>0.14400000000000002</v>
      </c>
      <c r="F102" s="2"/>
      <c r="G102" s="2"/>
    </row>
    <row r="103" spans="1:7" x14ac:dyDescent="0.2">
      <c r="A103" s="1" t="str">
        <f>'Population Definitions'!$A$7</f>
        <v>Females 25-34</v>
      </c>
      <c r="B103" t="s">
        <v>20</v>
      </c>
      <c r="C103" s="2"/>
      <c r="D103" s="3" t="s">
        <v>6</v>
      </c>
      <c r="E103" s="6">
        <f>'#ignore - Misc calcs'!$D$2*6%</f>
        <v>0.108</v>
      </c>
      <c r="F103" s="2"/>
      <c r="G103" s="2"/>
    </row>
    <row r="104" spans="1:7" x14ac:dyDescent="0.2">
      <c r="A104" s="1" t="str">
        <f>'Population Definitions'!$A$8</f>
        <v>Males 35-49</v>
      </c>
      <c r="B104" t="s">
        <v>20</v>
      </c>
      <c r="C104" s="2"/>
      <c r="D104" s="3" t="s">
        <v>6</v>
      </c>
      <c r="E104" s="6">
        <f>'#ignore - Misc calcs'!$D$2*9%</f>
        <v>0.16200000000000001</v>
      </c>
      <c r="F104" s="2"/>
      <c r="G104" s="2"/>
    </row>
    <row r="105" spans="1:7" x14ac:dyDescent="0.2">
      <c r="A105" s="1" t="str">
        <f>'Population Definitions'!$A$9</f>
        <v>Females 35-49</v>
      </c>
      <c r="B105" t="s">
        <v>20</v>
      </c>
      <c r="C105" s="2"/>
      <c r="D105" s="3" t="s">
        <v>6</v>
      </c>
      <c r="E105" s="6">
        <f>'#ignore - Misc calcs'!$D$2*5%</f>
        <v>9.0000000000000011E-2</v>
      </c>
      <c r="F105" s="2"/>
      <c r="G105" s="2"/>
    </row>
    <row r="106" spans="1:7" x14ac:dyDescent="0.2">
      <c r="A106" s="1" t="str">
        <f>'Population Definitions'!$A$10</f>
        <v>Males 50+</v>
      </c>
      <c r="B106" t="s">
        <v>20</v>
      </c>
      <c r="C106" s="2"/>
      <c r="D106" s="3" t="s">
        <v>6</v>
      </c>
      <c r="E106" s="6">
        <f>'#ignore - Misc calcs'!$D$2*8%</f>
        <v>0.14400000000000002</v>
      </c>
      <c r="F106" s="2"/>
      <c r="G106" s="2"/>
    </row>
    <row r="107" spans="1:7" x14ac:dyDescent="0.2">
      <c r="A107" s="1" t="str">
        <f>'Population Definitions'!$A$11</f>
        <v>Females 50+</v>
      </c>
      <c r="B107" t="s">
        <v>20</v>
      </c>
      <c r="C107" s="2"/>
      <c r="D107" s="3" t="s">
        <v>6</v>
      </c>
      <c r="E107" s="6">
        <f>'#ignore - Misc calcs'!$D$2*5%</f>
        <v>9.0000000000000011E-2</v>
      </c>
      <c r="F107" s="2"/>
      <c r="G107" s="2"/>
    </row>
    <row r="109" spans="1:7" x14ac:dyDescent="0.2">
      <c r="A109" s="1" t="s">
        <v>54</v>
      </c>
      <c r="B109" s="1" t="s">
        <v>3</v>
      </c>
      <c r="C109" s="1" t="s">
        <v>4</v>
      </c>
      <c r="D109" s="1"/>
      <c r="E109" s="1">
        <v>2017</v>
      </c>
      <c r="F109" s="1">
        <v>2018</v>
      </c>
      <c r="G109" s="1">
        <v>2019</v>
      </c>
    </row>
    <row r="110" spans="1:7" x14ac:dyDescent="0.2">
      <c r="A110" s="1" t="str">
        <f>'Population Definitions'!$A$2</f>
        <v>Males 0-14</v>
      </c>
      <c r="B110" t="s">
        <v>55</v>
      </c>
      <c r="C110" s="12">
        <v>10.5</v>
      </c>
      <c r="D110" s="3" t="s">
        <v>6</v>
      </c>
      <c r="E110" s="4"/>
      <c r="F110" s="4"/>
      <c r="G110" s="4"/>
    </row>
    <row r="111" spans="1:7" x14ac:dyDescent="0.2">
      <c r="A111" s="1" t="str">
        <f>'Population Definitions'!$A$3</f>
        <v>Females 0-14</v>
      </c>
      <c r="B111" t="s">
        <v>55</v>
      </c>
      <c r="C111" s="12">
        <v>10.5</v>
      </c>
      <c r="D111" s="3" t="s">
        <v>6</v>
      </c>
      <c r="E111" s="4"/>
      <c r="F111" s="4"/>
      <c r="G111" s="4"/>
    </row>
    <row r="112" spans="1:7" x14ac:dyDescent="0.2">
      <c r="A112" s="1" t="str">
        <f>'Population Definitions'!$A$4</f>
        <v>Males 15-24</v>
      </c>
      <c r="B112" t="s">
        <v>55</v>
      </c>
      <c r="C112" s="12">
        <v>10.5</v>
      </c>
      <c r="D112" s="3" t="s">
        <v>6</v>
      </c>
      <c r="E112" s="4"/>
      <c r="F112" s="4"/>
      <c r="G112" s="4"/>
    </row>
    <row r="113" spans="1:7" x14ac:dyDescent="0.2">
      <c r="A113" s="1" t="str">
        <f>'Population Definitions'!$A$5</f>
        <v>Females 15-24</v>
      </c>
      <c r="B113" t="s">
        <v>55</v>
      </c>
      <c r="C113" s="12">
        <v>10.5</v>
      </c>
      <c r="D113" s="3" t="s">
        <v>6</v>
      </c>
      <c r="E113" s="4"/>
      <c r="F113" s="4"/>
      <c r="G113" s="4"/>
    </row>
    <row r="114" spans="1:7" x14ac:dyDescent="0.2">
      <c r="A114" s="1" t="str">
        <f>'Population Definitions'!$A$6</f>
        <v>Males 25-34</v>
      </c>
      <c r="B114" t="s">
        <v>55</v>
      </c>
      <c r="C114" s="12">
        <v>10.5</v>
      </c>
      <c r="D114" s="3" t="s">
        <v>6</v>
      </c>
      <c r="E114" s="4"/>
      <c r="F114" s="4"/>
      <c r="G114" s="4"/>
    </row>
    <row r="115" spans="1:7" x14ac:dyDescent="0.2">
      <c r="A115" s="1" t="str">
        <f>'Population Definitions'!$A$7</f>
        <v>Females 25-34</v>
      </c>
      <c r="B115" t="s">
        <v>55</v>
      </c>
      <c r="C115" s="12">
        <v>10.5</v>
      </c>
      <c r="D115" s="3" t="s">
        <v>6</v>
      </c>
      <c r="E115" s="4"/>
      <c r="F115" s="4"/>
      <c r="G115" s="4"/>
    </row>
    <row r="116" spans="1:7" x14ac:dyDescent="0.2">
      <c r="A116" s="1" t="str">
        <f>'Population Definitions'!$A$8</f>
        <v>Males 35-49</v>
      </c>
      <c r="B116" t="s">
        <v>55</v>
      </c>
      <c r="C116" s="12">
        <v>10.5</v>
      </c>
      <c r="D116" s="3" t="s">
        <v>6</v>
      </c>
      <c r="E116" s="4"/>
      <c r="F116" s="4"/>
      <c r="G116" s="4"/>
    </row>
    <row r="117" spans="1:7" x14ac:dyDescent="0.2">
      <c r="A117" s="1" t="str">
        <f>'Population Definitions'!$A$9</f>
        <v>Females 35-49</v>
      </c>
      <c r="B117" t="s">
        <v>55</v>
      </c>
      <c r="C117" s="12">
        <v>10.5</v>
      </c>
      <c r="D117" s="3" t="s">
        <v>6</v>
      </c>
      <c r="E117" s="4"/>
      <c r="F117" s="4"/>
      <c r="G117" s="4"/>
    </row>
    <row r="118" spans="1:7" x14ac:dyDescent="0.2">
      <c r="A118" s="1" t="str">
        <f>'Population Definitions'!$A$10</f>
        <v>Males 50+</v>
      </c>
      <c r="B118" t="s">
        <v>55</v>
      </c>
      <c r="C118" s="12">
        <v>10.5</v>
      </c>
      <c r="D118" s="3" t="s">
        <v>6</v>
      </c>
      <c r="E118" s="4"/>
      <c r="F118" s="4"/>
      <c r="G118" s="4"/>
    </row>
    <row r="119" spans="1:7" x14ac:dyDescent="0.2">
      <c r="A119" s="1" t="str">
        <f>'Population Definitions'!$A$11</f>
        <v>Females 50+</v>
      </c>
      <c r="B119" t="s">
        <v>55</v>
      </c>
      <c r="C119" s="12">
        <v>10.5</v>
      </c>
      <c r="D119" s="3" t="s">
        <v>6</v>
      </c>
      <c r="E119" s="4"/>
      <c r="F119" s="4"/>
      <c r="G119" s="4"/>
    </row>
    <row r="121" spans="1:7" x14ac:dyDescent="0.2">
      <c r="A121" s="1" t="s">
        <v>44</v>
      </c>
      <c r="B121" s="1" t="s">
        <v>3</v>
      </c>
      <c r="C121" s="1" t="s">
        <v>4</v>
      </c>
      <c r="D121" s="1"/>
      <c r="E121" s="1">
        <v>2017</v>
      </c>
      <c r="F121" s="1">
        <v>2018</v>
      </c>
      <c r="G121" s="1">
        <v>2019</v>
      </c>
    </row>
    <row r="122" spans="1:7" x14ac:dyDescent="0.2">
      <c r="A122" s="1" t="str">
        <f>'Population Definitions'!$A$2</f>
        <v>Males 0-14</v>
      </c>
      <c r="B122" t="s">
        <v>46</v>
      </c>
      <c r="C122" s="9">
        <v>0.5</v>
      </c>
      <c r="D122" s="3" t="s">
        <v>6</v>
      </c>
      <c r="E122" s="4"/>
      <c r="F122" s="4"/>
      <c r="G122" s="4"/>
    </row>
    <row r="123" spans="1:7" x14ac:dyDescent="0.2">
      <c r="A123" s="1" t="str">
        <f>'Population Definitions'!$A$3</f>
        <v>Females 0-14</v>
      </c>
      <c r="B123" t="s">
        <v>46</v>
      </c>
      <c r="C123" s="9">
        <v>0.5</v>
      </c>
      <c r="D123" s="3" t="s">
        <v>6</v>
      </c>
      <c r="E123" s="4"/>
      <c r="F123" s="4"/>
      <c r="G123" s="4"/>
    </row>
    <row r="124" spans="1:7" x14ac:dyDescent="0.2">
      <c r="A124" s="1" t="str">
        <f>'Population Definitions'!$A$4</f>
        <v>Males 15-24</v>
      </c>
      <c r="B124" t="s">
        <v>46</v>
      </c>
      <c r="C124" s="9">
        <v>0.5</v>
      </c>
      <c r="D124" s="3" t="s">
        <v>6</v>
      </c>
      <c r="E124" s="4"/>
      <c r="F124" s="4"/>
      <c r="G124" s="4"/>
    </row>
    <row r="125" spans="1:7" x14ac:dyDescent="0.2">
      <c r="A125" s="1" t="str">
        <f>'Population Definitions'!$A$5</f>
        <v>Females 15-24</v>
      </c>
      <c r="B125" t="s">
        <v>46</v>
      </c>
      <c r="C125" s="9">
        <v>0.5</v>
      </c>
      <c r="D125" s="3" t="s">
        <v>6</v>
      </c>
      <c r="E125" s="4"/>
      <c r="F125" s="4"/>
      <c r="G125" s="4"/>
    </row>
    <row r="126" spans="1:7" x14ac:dyDescent="0.2">
      <c r="A126" s="1" t="str">
        <f>'Population Definitions'!$A$6</f>
        <v>Males 25-34</v>
      </c>
      <c r="B126" t="s">
        <v>46</v>
      </c>
      <c r="C126" s="9">
        <v>0.5</v>
      </c>
      <c r="D126" s="3" t="s">
        <v>6</v>
      </c>
      <c r="E126" s="4"/>
      <c r="F126" s="4"/>
      <c r="G126" s="4"/>
    </row>
    <row r="127" spans="1:7" x14ac:dyDescent="0.2">
      <c r="A127" s="1" t="str">
        <f>'Population Definitions'!$A$7</f>
        <v>Females 25-34</v>
      </c>
      <c r="B127" t="s">
        <v>46</v>
      </c>
      <c r="C127" s="9">
        <v>0.5</v>
      </c>
      <c r="D127" s="3" t="s">
        <v>6</v>
      </c>
      <c r="E127" s="4"/>
      <c r="F127" s="4"/>
      <c r="G127" s="4"/>
    </row>
    <row r="128" spans="1:7" x14ac:dyDescent="0.2">
      <c r="A128" s="1" t="str">
        <f>'Population Definitions'!$A$8</f>
        <v>Males 35-49</v>
      </c>
      <c r="B128" t="s">
        <v>46</v>
      </c>
      <c r="C128" s="9">
        <v>0.5</v>
      </c>
      <c r="D128" s="3" t="s">
        <v>6</v>
      </c>
      <c r="E128" s="4"/>
      <c r="F128" s="4"/>
      <c r="G128" s="4"/>
    </row>
    <row r="129" spans="1:7" x14ac:dyDescent="0.2">
      <c r="A129" s="1" t="str">
        <f>'Population Definitions'!$A$9</f>
        <v>Females 35-49</v>
      </c>
      <c r="B129" t="s">
        <v>46</v>
      </c>
      <c r="C129" s="9">
        <v>0.5</v>
      </c>
      <c r="D129" s="3" t="s">
        <v>6</v>
      </c>
      <c r="E129" s="4"/>
      <c r="F129" s="4"/>
      <c r="G129" s="4"/>
    </row>
    <row r="130" spans="1:7" x14ac:dyDescent="0.2">
      <c r="A130" s="1" t="str">
        <f>'Population Definitions'!$A$10</f>
        <v>Males 50+</v>
      </c>
      <c r="B130" t="s">
        <v>46</v>
      </c>
      <c r="C130" s="9">
        <v>0.5</v>
      </c>
      <c r="D130" s="3" t="s">
        <v>6</v>
      </c>
      <c r="E130" s="4"/>
      <c r="F130" s="4"/>
      <c r="G130" s="4"/>
    </row>
    <row r="131" spans="1:7" x14ac:dyDescent="0.2">
      <c r="A131" s="1" t="str">
        <f>'Population Definitions'!$A$11</f>
        <v>Females 50+</v>
      </c>
      <c r="B131" t="s">
        <v>46</v>
      </c>
      <c r="C131" s="9">
        <v>0.5</v>
      </c>
      <c r="D131" s="3" t="s">
        <v>6</v>
      </c>
      <c r="E131" s="4"/>
      <c r="F131" s="4"/>
      <c r="G131" s="4"/>
    </row>
    <row r="133" spans="1:7" x14ac:dyDescent="0.2">
      <c r="A133" s="1" t="s">
        <v>45</v>
      </c>
      <c r="B133" s="1" t="s">
        <v>3</v>
      </c>
      <c r="C133" s="1" t="s">
        <v>4</v>
      </c>
      <c r="D133" s="1"/>
      <c r="E133" s="1">
        <v>2017</v>
      </c>
      <c r="F133" s="1">
        <v>2018</v>
      </c>
      <c r="G133" s="1">
        <v>2019</v>
      </c>
    </row>
    <row r="134" spans="1:7" x14ac:dyDescent="0.2">
      <c r="A134" s="1" t="str">
        <f>'Population Definitions'!$A$2</f>
        <v>Males 0-14</v>
      </c>
      <c r="B134" t="s">
        <v>46</v>
      </c>
      <c r="C134" s="9">
        <v>0.96</v>
      </c>
      <c r="D134" s="3" t="s">
        <v>6</v>
      </c>
      <c r="E134" s="4"/>
      <c r="F134" s="4"/>
      <c r="G134" s="4"/>
    </row>
    <row r="135" spans="1:7" x14ac:dyDescent="0.2">
      <c r="A135" s="1" t="str">
        <f>'Population Definitions'!$A$3</f>
        <v>Females 0-14</v>
      </c>
      <c r="B135" t="s">
        <v>46</v>
      </c>
      <c r="C135" s="9">
        <v>0.96</v>
      </c>
      <c r="D135" s="3" t="s">
        <v>6</v>
      </c>
      <c r="E135" s="4"/>
      <c r="F135" s="4"/>
      <c r="G135" s="4"/>
    </row>
    <row r="136" spans="1:7" x14ac:dyDescent="0.2">
      <c r="A136" s="1" t="str">
        <f>'Population Definitions'!$A$4</f>
        <v>Males 15-24</v>
      </c>
      <c r="B136" t="s">
        <v>46</v>
      </c>
      <c r="C136" s="9">
        <v>0.96</v>
      </c>
      <c r="D136" s="3" t="s">
        <v>6</v>
      </c>
      <c r="E136" s="4"/>
      <c r="F136" s="4"/>
      <c r="G136" s="4"/>
    </row>
    <row r="137" spans="1:7" x14ac:dyDescent="0.2">
      <c r="A137" s="1" t="str">
        <f>'Population Definitions'!$A$5</f>
        <v>Females 15-24</v>
      </c>
      <c r="B137" t="s">
        <v>46</v>
      </c>
      <c r="C137" s="9">
        <v>0.96</v>
      </c>
      <c r="D137" s="3" t="s">
        <v>6</v>
      </c>
      <c r="E137" s="4"/>
      <c r="F137" s="4"/>
      <c r="G137" s="4"/>
    </row>
    <row r="138" spans="1:7" x14ac:dyDescent="0.2">
      <c r="A138" s="1" t="str">
        <f>'Population Definitions'!$A$6</f>
        <v>Males 25-34</v>
      </c>
      <c r="B138" t="s">
        <v>46</v>
      </c>
      <c r="C138" s="9">
        <v>0.96</v>
      </c>
      <c r="D138" s="3" t="s">
        <v>6</v>
      </c>
      <c r="E138" s="4"/>
      <c r="F138" s="4"/>
      <c r="G138" s="4"/>
    </row>
    <row r="139" spans="1:7" x14ac:dyDescent="0.2">
      <c r="A139" s="1" t="str">
        <f>'Population Definitions'!$A$7</f>
        <v>Females 25-34</v>
      </c>
      <c r="B139" t="s">
        <v>46</v>
      </c>
      <c r="C139" s="9">
        <v>0.96</v>
      </c>
      <c r="D139" s="3" t="s">
        <v>6</v>
      </c>
      <c r="E139" s="4"/>
      <c r="F139" s="4"/>
      <c r="G139" s="4"/>
    </row>
    <row r="140" spans="1:7" x14ac:dyDescent="0.2">
      <c r="A140" s="1" t="str">
        <f>'Population Definitions'!$A$8</f>
        <v>Males 35-49</v>
      </c>
      <c r="B140" t="s">
        <v>46</v>
      </c>
      <c r="C140" s="9">
        <v>0.96</v>
      </c>
      <c r="D140" s="3" t="s">
        <v>6</v>
      </c>
      <c r="E140" s="4"/>
      <c r="F140" s="4"/>
      <c r="G140" s="4"/>
    </row>
    <row r="141" spans="1:7" x14ac:dyDescent="0.2">
      <c r="A141" s="1" t="str">
        <f>'Population Definitions'!$A$9</f>
        <v>Females 35-49</v>
      </c>
      <c r="B141" t="s">
        <v>46</v>
      </c>
      <c r="C141" s="9">
        <v>0.96</v>
      </c>
      <c r="D141" s="3" t="s">
        <v>6</v>
      </c>
      <c r="E141" s="4"/>
      <c r="F141" s="4"/>
      <c r="G141" s="4"/>
    </row>
    <row r="142" spans="1:7" x14ac:dyDescent="0.2">
      <c r="A142" s="1" t="str">
        <f>'Population Definitions'!$A$10</f>
        <v>Males 50+</v>
      </c>
      <c r="B142" t="s">
        <v>46</v>
      </c>
      <c r="C142" s="9">
        <v>0.96</v>
      </c>
      <c r="D142" s="3" t="s">
        <v>6</v>
      </c>
      <c r="E142" s="4"/>
      <c r="F142" s="4"/>
      <c r="G142" s="4"/>
    </row>
    <row r="143" spans="1:7" x14ac:dyDescent="0.2">
      <c r="A143" s="1" t="str">
        <f>'Population Definitions'!$A$11</f>
        <v>Females 50+</v>
      </c>
      <c r="B143" t="s">
        <v>46</v>
      </c>
      <c r="C143" s="9">
        <v>0.96</v>
      </c>
      <c r="D143" s="3" t="s">
        <v>6</v>
      </c>
      <c r="E143" s="4"/>
      <c r="F143" s="4"/>
      <c r="G143" s="4"/>
    </row>
    <row r="145" spans="1:7" x14ac:dyDescent="0.2">
      <c r="A145" s="1" t="s">
        <v>25</v>
      </c>
      <c r="B145" s="1" t="s">
        <v>3</v>
      </c>
      <c r="C145" s="1" t="s">
        <v>4</v>
      </c>
      <c r="D145" s="1"/>
      <c r="E145" s="1">
        <v>2017</v>
      </c>
      <c r="F145" s="1">
        <v>2018</v>
      </c>
      <c r="G145" s="1">
        <v>2019</v>
      </c>
    </row>
    <row r="146" spans="1:7" x14ac:dyDescent="0.2">
      <c r="A146" s="1" t="str">
        <f>'Population Definitions'!$A$2</f>
        <v>Males 0-14</v>
      </c>
      <c r="B146" t="s">
        <v>26</v>
      </c>
      <c r="C146" s="4">
        <v>0.5</v>
      </c>
      <c r="D146" s="3" t="s">
        <v>6</v>
      </c>
      <c r="E146" s="4"/>
      <c r="F146" s="4"/>
      <c r="G146" s="4"/>
    </row>
    <row r="147" spans="1:7" x14ac:dyDescent="0.2">
      <c r="A147" s="1" t="str">
        <f>'Population Definitions'!$A$3</f>
        <v>Females 0-14</v>
      </c>
      <c r="B147" t="s">
        <v>26</v>
      </c>
      <c r="C147" s="4">
        <v>0.5</v>
      </c>
      <c r="D147" s="3" t="s">
        <v>6</v>
      </c>
      <c r="E147" s="4"/>
      <c r="F147" s="4"/>
      <c r="G147" s="4"/>
    </row>
    <row r="148" spans="1:7" x14ac:dyDescent="0.2">
      <c r="A148" s="1" t="str">
        <f>'Population Definitions'!$A$4</f>
        <v>Males 15-24</v>
      </c>
      <c r="B148" t="s">
        <v>26</v>
      </c>
      <c r="C148" s="4">
        <v>0.5</v>
      </c>
      <c r="D148" s="3" t="s">
        <v>6</v>
      </c>
      <c r="E148" s="4"/>
      <c r="F148" s="4"/>
      <c r="G148" s="4"/>
    </row>
    <row r="149" spans="1:7" x14ac:dyDescent="0.2">
      <c r="A149" s="1" t="str">
        <f>'Population Definitions'!$A$5</f>
        <v>Females 15-24</v>
      </c>
      <c r="B149" t="s">
        <v>26</v>
      </c>
      <c r="C149" s="4">
        <v>0.5</v>
      </c>
      <c r="D149" s="3" t="s">
        <v>6</v>
      </c>
      <c r="E149" s="4"/>
      <c r="F149" s="4"/>
      <c r="G149" s="4"/>
    </row>
    <row r="150" spans="1:7" x14ac:dyDescent="0.2">
      <c r="A150" s="1" t="str">
        <f>'Population Definitions'!$A$6</f>
        <v>Males 25-34</v>
      </c>
      <c r="B150" t="s">
        <v>26</v>
      </c>
      <c r="C150" s="4">
        <v>0.5</v>
      </c>
      <c r="D150" s="3" t="s">
        <v>6</v>
      </c>
      <c r="E150" s="4"/>
      <c r="F150" s="4"/>
      <c r="G150" s="4"/>
    </row>
    <row r="151" spans="1:7" x14ac:dyDescent="0.2">
      <c r="A151" s="1" t="str">
        <f>'Population Definitions'!$A$7</f>
        <v>Females 25-34</v>
      </c>
      <c r="B151" t="s">
        <v>26</v>
      </c>
      <c r="C151" s="4">
        <v>0.5</v>
      </c>
      <c r="D151" s="3" t="s">
        <v>6</v>
      </c>
      <c r="E151" s="4"/>
      <c r="F151" s="4"/>
      <c r="G151" s="4"/>
    </row>
    <row r="152" spans="1:7" x14ac:dyDescent="0.2">
      <c r="A152" s="1" t="str">
        <f>'Population Definitions'!$A$8</f>
        <v>Males 35-49</v>
      </c>
      <c r="B152" t="s">
        <v>26</v>
      </c>
      <c r="C152" s="4">
        <v>0.5</v>
      </c>
      <c r="D152" s="3" t="s">
        <v>6</v>
      </c>
      <c r="E152" s="4"/>
      <c r="F152" s="4"/>
      <c r="G152" s="4"/>
    </row>
    <row r="153" spans="1:7" x14ac:dyDescent="0.2">
      <c r="A153" s="1" t="str">
        <f>'Population Definitions'!$A$9</f>
        <v>Females 35-49</v>
      </c>
      <c r="B153" t="s">
        <v>26</v>
      </c>
      <c r="C153" s="4">
        <v>0.5</v>
      </c>
      <c r="D153" s="3" t="s">
        <v>6</v>
      </c>
      <c r="E153" s="4"/>
      <c r="F153" s="4"/>
      <c r="G153" s="4"/>
    </row>
    <row r="154" spans="1:7" x14ac:dyDescent="0.2">
      <c r="A154" s="1" t="str">
        <f>'Population Definitions'!$A$10</f>
        <v>Males 50+</v>
      </c>
      <c r="B154" t="s">
        <v>26</v>
      </c>
      <c r="C154" s="4">
        <v>0.5</v>
      </c>
      <c r="D154" s="3" t="s">
        <v>6</v>
      </c>
      <c r="E154" s="4"/>
      <c r="F154" s="4"/>
      <c r="G154" s="4"/>
    </row>
    <row r="155" spans="1:7" x14ac:dyDescent="0.2">
      <c r="A155" s="1" t="str">
        <f>'Population Definitions'!$A$11</f>
        <v>Females 50+</v>
      </c>
      <c r="B155" t="s">
        <v>26</v>
      </c>
      <c r="C155" s="4">
        <v>0.5</v>
      </c>
      <c r="D155" s="3" t="s">
        <v>6</v>
      </c>
      <c r="E155" s="4"/>
      <c r="F155" s="4"/>
      <c r="G155" s="4"/>
    </row>
    <row r="157" spans="1:7" x14ac:dyDescent="0.2">
      <c r="A157" s="1" t="s">
        <v>27</v>
      </c>
      <c r="B157" s="1" t="s">
        <v>3</v>
      </c>
      <c r="C157" s="1" t="s">
        <v>4</v>
      </c>
      <c r="D157" s="1"/>
      <c r="E157" s="1">
        <v>2017</v>
      </c>
      <c r="F157" s="1">
        <v>2018</v>
      </c>
      <c r="G157" s="1">
        <v>2019</v>
      </c>
    </row>
    <row r="158" spans="1:7" x14ac:dyDescent="0.2">
      <c r="A158" s="1" t="str">
        <f>'Population Definitions'!$A$2</f>
        <v>Males 0-14</v>
      </c>
      <c r="B158" t="s">
        <v>20</v>
      </c>
      <c r="C158" s="4">
        <v>0.25</v>
      </c>
      <c r="D158" s="3" t="s">
        <v>6</v>
      </c>
      <c r="E158" s="4"/>
      <c r="F158" s="4"/>
      <c r="G158" s="4"/>
    </row>
    <row r="159" spans="1:7" x14ac:dyDescent="0.2">
      <c r="A159" s="1" t="str">
        <f>'Population Definitions'!$A$3</f>
        <v>Females 0-14</v>
      </c>
      <c r="B159" t="s">
        <v>20</v>
      </c>
      <c r="C159" s="4">
        <v>0.25</v>
      </c>
      <c r="D159" s="3" t="s">
        <v>6</v>
      </c>
      <c r="E159" s="4"/>
      <c r="F159" s="4"/>
      <c r="G159" s="4"/>
    </row>
    <row r="160" spans="1:7" x14ac:dyDescent="0.2">
      <c r="A160" s="1" t="str">
        <f>'Population Definitions'!$A$4</f>
        <v>Males 15-24</v>
      </c>
      <c r="B160" t="s">
        <v>20</v>
      </c>
      <c r="C160" s="4">
        <v>0.25</v>
      </c>
      <c r="D160" s="3" t="s">
        <v>6</v>
      </c>
      <c r="E160" s="4"/>
      <c r="F160" s="4"/>
      <c r="G160" s="4"/>
    </row>
    <row r="161" spans="1:7" x14ac:dyDescent="0.2">
      <c r="A161" s="1" t="str">
        <f>'Population Definitions'!$A$5</f>
        <v>Females 15-24</v>
      </c>
      <c r="B161" t="s">
        <v>20</v>
      </c>
      <c r="C161" s="4">
        <v>0.25</v>
      </c>
      <c r="D161" s="3" t="s">
        <v>6</v>
      </c>
      <c r="E161" s="4"/>
      <c r="F161" s="4"/>
      <c r="G161" s="4"/>
    </row>
    <row r="162" spans="1:7" x14ac:dyDescent="0.2">
      <c r="A162" s="1" t="str">
        <f>'Population Definitions'!$A$6</f>
        <v>Males 25-34</v>
      </c>
      <c r="B162" t="s">
        <v>20</v>
      </c>
      <c r="C162" s="4">
        <v>0.25</v>
      </c>
      <c r="D162" s="3" t="s">
        <v>6</v>
      </c>
      <c r="E162" s="4"/>
      <c r="F162" s="4"/>
      <c r="G162" s="4"/>
    </row>
    <row r="163" spans="1:7" x14ac:dyDescent="0.2">
      <c r="A163" s="1" t="str">
        <f>'Population Definitions'!$A$7</f>
        <v>Females 25-34</v>
      </c>
      <c r="B163" t="s">
        <v>20</v>
      </c>
      <c r="C163" s="4">
        <v>0.25</v>
      </c>
      <c r="D163" s="3" t="s">
        <v>6</v>
      </c>
      <c r="E163" s="4"/>
      <c r="F163" s="4"/>
      <c r="G163" s="4"/>
    </row>
    <row r="164" spans="1:7" x14ac:dyDescent="0.2">
      <c r="A164" s="1" t="str">
        <f>'Population Definitions'!$A$8</f>
        <v>Males 35-49</v>
      </c>
      <c r="B164" t="s">
        <v>20</v>
      </c>
      <c r="C164" s="4">
        <v>0.25</v>
      </c>
      <c r="D164" s="3" t="s">
        <v>6</v>
      </c>
      <c r="E164" s="4"/>
      <c r="F164" s="4"/>
      <c r="G164" s="4"/>
    </row>
    <row r="165" spans="1:7" x14ac:dyDescent="0.2">
      <c r="A165" s="1" t="str">
        <f>'Population Definitions'!$A$9</f>
        <v>Females 35-49</v>
      </c>
      <c r="B165" t="s">
        <v>20</v>
      </c>
      <c r="C165" s="4">
        <v>0.25</v>
      </c>
      <c r="D165" s="3" t="s">
        <v>6</v>
      </c>
      <c r="E165" s="4"/>
      <c r="F165" s="4"/>
      <c r="G165" s="4"/>
    </row>
    <row r="166" spans="1:7" x14ac:dyDescent="0.2">
      <c r="A166" s="1" t="str">
        <f>'Population Definitions'!$A$10</f>
        <v>Males 50+</v>
      </c>
      <c r="B166" t="s">
        <v>20</v>
      </c>
      <c r="C166" s="4">
        <v>0.25</v>
      </c>
      <c r="D166" s="3" t="s">
        <v>6</v>
      </c>
      <c r="E166" s="4"/>
      <c r="F166" s="4"/>
      <c r="G166" s="4"/>
    </row>
    <row r="167" spans="1:7" x14ac:dyDescent="0.2">
      <c r="A167" s="1" t="str">
        <f>'Population Definitions'!$A$11</f>
        <v>Females 50+</v>
      </c>
      <c r="B167" t="s">
        <v>20</v>
      </c>
      <c r="C167" s="4">
        <v>0.25</v>
      </c>
      <c r="D167" s="3" t="s">
        <v>6</v>
      </c>
      <c r="E167" s="4"/>
      <c r="F167" s="4"/>
      <c r="G167" s="4"/>
    </row>
    <row r="169" spans="1:7" x14ac:dyDescent="0.2">
      <c r="A169" s="1" t="s">
        <v>28</v>
      </c>
      <c r="B169" s="1" t="s">
        <v>3</v>
      </c>
      <c r="C169" s="1" t="s">
        <v>4</v>
      </c>
      <c r="D169" s="1"/>
      <c r="E169" s="1">
        <v>2017</v>
      </c>
      <c r="F169" s="1">
        <v>2018</v>
      </c>
      <c r="G169" s="1">
        <v>2019</v>
      </c>
    </row>
    <row r="170" spans="1:7" x14ac:dyDescent="0.2">
      <c r="A170" s="1" t="str">
        <f>'Population Definitions'!$A$2</f>
        <v>Males 0-14</v>
      </c>
      <c r="B170" t="s">
        <v>20</v>
      </c>
      <c r="C170" s="4">
        <f>0.053*0.51</f>
        <v>2.7029999999999998E-2</v>
      </c>
      <c r="D170" s="3" t="s">
        <v>6</v>
      </c>
      <c r="E170" s="4"/>
      <c r="F170" s="4"/>
      <c r="G170" s="4"/>
    </row>
    <row r="171" spans="1:7" x14ac:dyDescent="0.2">
      <c r="A171" s="1" t="str">
        <f>'Population Definitions'!$A$3</f>
        <v>Females 0-14</v>
      </c>
      <c r="B171" t="s">
        <v>20</v>
      </c>
      <c r="C171" s="4">
        <f t="shared" ref="C171:C179" si="0">0.053*0.51</f>
        <v>2.7029999999999998E-2</v>
      </c>
      <c r="D171" s="3" t="s">
        <v>6</v>
      </c>
      <c r="E171" s="4"/>
      <c r="F171" s="4"/>
      <c r="G171" s="4"/>
    </row>
    <row r="172" spans="1:7" x14ac:dyDescent="0.2">
      <c r="A172" s="1" t="str">
        <f>'Population Definitions'!$A$4</f>
        <v>Males 15-24</v>
      </c>
      <c r="B172" t="s">
        <v>20</v>
      </c>
      <c r="C172" s="4">
        <f t="shared" si="0"/>
        <v>2.7029999999999998E-2</v>
      </c>
      <c r="D172" s="3" t="s">
        <v>6</v>
      </c>
      <c r="E172" s="4"/>
      <c r="F172" s="4"/>
      <c r="G172" s="4"/>
    </row>
    <row r="173" spans="1:7" x14ac:dyDescent="0.2">
      <c r="A173" s="1" t="str">
        <f>'Population Definitions'!$A$5</f>
        <v>Females 15-24</v>
      </c>
      <c r="B173" t="s">
        <v>20</v>
      </c>
      <c r="C173" s="4">
        <f t="shared" si="0"/>
        <v>2.7029999999999998E-2</v>
      </c>
      <c r="D173" s="3" t="s">
        <v>6</v>
      </c>
      <c r="E173" s="4"/>
      <c r="F173" s="4"/>
      <c r="G173" s="4"/>
    </row>
    <row r="174" spans="1:7" x14ac:dyDescent="0.2">
      <c r="A174" s="1" t="str">
        <f>'Population Definitions'!$A$6</f>
        <v>Males 25-34</v>
      </c>
      <c r="B174" t="s">
        <v>20</v>
      </c>
      <c r="C174" s="4">
        <f t="shared" si="0"/>
        <v>2.7029999999999998E-2</v>
      </c>
      <c r="D174" s="3" t="s">
        <v>6</v>
      </c>
      <c r="E174" s="4"/>
      <c r="F174" s="4"/>
      <c r="G174" s="4"/>
    </row>
    <row r="175" spans="1:7" x14ac:dyDescent="0.2">
      <c r="A175" s="1" t="str">
        <f>'Population Definitions'!$A$7</f>
        <v>Females 25-34</v>
      </c>
      <c r="B175" t="s">
        <v>20</v>
      </c>
      <c r="C175" s="4">
        <f t="shared" si="0"/>
        <v>2.7029999999999998E-2</v>
      </c>
      <c r="D175" s="3" t="s">
        <v>6</v>
      </c>
      <c r="E175" s="4"/>
      <c r="F175" s="4"/>
      <c r="G175" s="4"/>
    </row>
    <row r="176" spans="1:7" x14ac:dyDescent="0.2">
      <c r="A176" s="1" t="str">
        <f>'Population Definitions'!$A$8</f>
        <v>Males 35-49</v>
      </c>
      <c r="B176" t="s">
        <v>20</v>
      </c>
      <c r="C176" s="4">
        <f t="shared" si="0"/>
        <v>2.7029999999999998E-2</v>
      </c>
      <c r="D176" s="3" t="s">
        <v>6</v>
      </c>
      <c r="E176" s="4"/>
      <c r="F176" s="4"/>
      <c r="G176" s="4"/>
    </row>
    <row r="177" spans="1:7" x14ac:dyDescent="0.2">
      <c r="A177" s="1" t="str">
        <f>'Population Definitions'!$A$9</f>
        <v>Females 35-49</v>
      </c>
      <c r="B177" t="s">
        <v>20</v>
      </c>
      <c r="C177" s="4">
        <f t="shared" si="0"/>
        <v>2.7029999999999998E-2</v>
      </c>
      <c r="D177" s="3" t="s">
        <v>6</v>
      </c>
      <c r="E177" s="4"/>
      <c r="F177" s="4"/>
      <c r="G177" s="4"/>
    </row>
    <row r="178" spans="1:7" x14ac:dyDescent="0.2">
      <c r="A178" s="1" t="str">
        <f>'Population Definitions'!$A$10</f>
        <v>Males 50+</v>
      </c>
      <c r="B178" t="s">
        <v>20</v>
      </c>
      <c r="C178" s="4">
        <f t="shared" si="0"/>
        <v>2.7029999999999998E-2</v>
      </c>
      <c r="D178" s="3" t="s">
        <v>6</v>
      </c>
      <c r="E178" s="4"/>
      <c r="F178" s="4"/>
      <c r="G178" s="4"/>
    </row>
    <row r="179" spans="1:7" x14ac:dyDescent="0.2">
      <c r="A179" s="1" t="str">
        <f>'Population Definitions'!$A$11</f>
        <v>Females 50+</v>
      </c>
      <c r="B179" t="s">
        <v>20</v>
      </c>
      <c r="C179" s="4">
        <f t="shared" si="0"/>
        <v>2.7029999999999998E-2</v>
      </c>
      <c r="D179" s="3" t="s">
        <v>6</v>
      </c>
      <c r="E179" s="4"/>
      <c r="F179" s="4"/>
      <c r="G179" s="4"/>
    </row>
    <row r="181" spans="1:7" x14ac:dyDescent="0.2">
      <c r="A181" s="1" t="s">
        <v>29</v>
      </c>
      <c r="B181" s="1" t="s">
        <v>3</v>
      </c>
      <c r="C181" s="1" t="s">
        <v>4</v>
      </c>
      <c r="D181" s="1"/>
      <c r="E181" s="1">
        <v>2017</v>
      </c>
      <c r="F181" s="1">
        <v>2018</v>
      </c>
      <c r="G181" s="1">
        <v>2019</v>
      </c>
    </row>
    <row r="182" spans="1:7" x14ac:dyDescent="0.2">
      <c r="A182" s="1" t="str">
        <f>'Population Definitions'!$A$2</f>
        <v>Males 0-14</v>
      </c>
      <c r="B182" t="s">
        <v>20</v>
      </c>
      <c r="C182" s="4">
        <f>C170*0.4878</f>
        <v>1.3185233999999999E-2</v>
      </c>
      <c r="D182" s="3" t="s">
        <v>6</v>
      </c>
      <c r="E182" s="4"/>
      <c r="F182" s="4"/>
      <c r="G182" s="4"/>
    </row>
    <row r="183" spans="1:7" x14ac:dyDescent="0.2">
      <c r="A183" s="1" t="str">
        <f>'Population Definitions'!$A$3</f>
        <v>Females 0-14</v>
      </c>
      <c r="B183" t="s">
        <v>20</v>
      </c>
      <c r="C183" s="4">
        <f t="shared" ref="C183:C191" si="1">C171*0.4878</f>
        <v>1.3185233999999999E-2</v>
      </c>
      <c r="D183" s="3" t="s">
        <v>6</v>
      </c>
      <c r="E183" s="4"/>
      <c r="F183" s="4"/>
      <c r="G183" s="4"/>
    </row>
    <row r="184" spans="1:7" x14ac:dyDescent="0.2">
      <c r="A184" s="1" t="str">
        <f>'Population Definitions'!$A$4</f>
        <v>Males 15-24</v>
      </c>
      <c r="B184" t="s">
        <v>20</v>
      </c>
      <c r="C184" s="4">
        <f t="shared" si="1"/>
        <v>1.3185233999999999E-2</v>
      </c>
      <c r="D184" s="3" t="s">
        <v>6</v>
      </c>
      <c r="E184" s="4"/>
      <c r="F184" s="4"/>
      <c r="G184" s="4"/>
    </row>
    <row r="185" spans="1:7" x14ac:dyDescent="0.2">
      <c r="A185" s="1" t="str">
        <f>'Population Definitions'!$A$5</f>
        <v>Females 15-24</v>
      </c>
      <c r="B185" t="s">
        <v>20</v>
      </c>
      <c r="C185" s="4">
        <f t="shared" si="1"/>
        <v>1.3185233999999999E-2</v>
      </c>
      <c r="D185" s="3" t="s">
        <v>6</v>
      </c>
      <c r="E185" s="4"/>
      <c r="F185" s="4"/>
      <c r="G185" s="4"/>
    </row>
    <row r="186" spans="1:7" x14ac:dyDescent="0.2">
      <c r="A186" s="1" t="str">
        <f>'Population Definitions'!$A$6</f>
        <v>Males 25-34</v>
      </c>
      <c r="B186" t="s">
        <v>20</v>
      </c>
      <c r="C186" s="4">
        <f t="shared" si="1"/>
        <v>1.3185233999999999E-2</v>
      </c>
      <c r="D186" s="3" t="s">
        <v>6</v>
      </c>
      <c r="E186" s="4"/>
      <c r="F186" s="4"/>
      <c r="G186" s="4"/>
    </row>
    <row r="187" spans="1:7" x14ac:dyDescent="0.2">
      <c r="A187" s="1" t="str">
        <f>'Population Definitions'!$A$7</f>
        <v>Females 25-34</v>
      </c>
      <c r="B187" t="s">
        <v>20</v>
      </c>
      <c r="C187" s="4">
        <f t="shared" si="1"/>
        <v>1.3185233999999999E-2</v>
      </c>
      <c r="D187" s="3" t="s">
        <v>6</v>
      </c>
      <c r="E187" s="4"/>
      <c r="F187" s="4"/>
      <c r="G187" s="4"/>
    </row>
    <row r="188" spans="1:7" x14ac:dyDescent="0.2">
      <c r="A188" s="1" t="str">
        <f>'Population Definitions'!$A$8</f>
        <v>Males 35-49</v>
      </c>
      <c r="B188" t="s">
        <v>20</v>
      </c>
      <c r="C188" s="4">
        <f t="shared" si="1"/>
        <v>1.3185233999999999E-2</v>
      </c>
      <c r="D188" s="3" t="s">
        <v>6</v>
      </c>
      <c r="E188" s="4"/>
      <c r="F188" s="4"/>
      <c r="G188" s="4"/>
    </row>
    <row r="189" spans="1:7" x14ac:dyDescent="0.2">
      <c r="A189" s="1" t="str">
        <f>'Population Definitions'!$A$9</f>
        <v>Females 35-49</v>
      </c>
      <c r="B189" t="s">
        <v>20</v>
      </c>
      <c r="C189" s="4">
        <f t="shared" si="1"/>
        <v>1.3185233999999999E-2</v>
      </c>
      <c r="D189" s="3" t="s">
        <v>6</v>
      </c>
      <c r="E189" s="4"/>
      <c r="F189" s="4"/>
      <c r="G189" s="4"/>
    </row>
    <row r="190" spans="1:7" x14ac:dyDescent="0.2">
      <c r="A190" s="1" t="str">
        <f>'Population Definitions'!$A$10</f>
        <v>Males 50+</v>
      </c>
      <c r="B190" t="s">
        <v>20</v>
      </c>
      <c r="C190" s="4">
        <f t="shared" si="1"/>
        <v>1.3185233999999999E-2</v>
      </c>
      <c r="D190" s="3" t="s">
        <v>6</v>
      </c>
      <c r="E190" s="4"/>
      <c r="F190" s="4"/>
      <c r="G190" s="4"/>
    </row>
    <row r="191" spans="1:7" x14ac:dyDescent="0.2">
      <c r="A191" s="1" t="str">
        <f>'Population Definitions'!$A$11</f>
        <v>Females 50+</v>
      </c>
      <c r="B191" t="s">
        <v>20</v>
      </c>
      <c r="C191" s="4">
        <f t="shared" si="1"/>
        <v>1.3185233999999999E-2</v>
      </c>
      <c r="D191" s="3" t="s">
        <v>6</v>
      </c>
      <c r="E191" s="4"/>
      <c r="F191" s="4"/>
      <c r="G191" s="4"/>
    </row>
    <row r="193" spans="1:7" x14ac:dyDescent="0.2">
      <c r="A193" s="1" t="s">
        <v>30</v>
      </c>
      <c r="B193" s="1" t="s">
        <v>3</v>
      </c>
      <c r="C193" s="1" t="s">
        <v>4</v>
      </c>
      <c r="D193" s="1"/>
      <c r="E193" s="1">
        <v>2017</v>
      </c>
      <c r="F193" s="1">
        <v>2018</v>
      </c>
      <c r="G193" s="1">
        <v>2019</v>
      </c>
    </row>
    <row r="194" spans="1:7" x14ac:dyDescent="0.2">
      <c r="A194" s="1" t="str">
        <f>'Population Definitions'!$A$2</f>
        <v>Males 0-14</v>
      </c>
      <c r="B194" t="s">
        <v>20</v>
      </c>
      <c r="C194" s="4">
        <f>C170*0.23</f>
        <v>6.2169E-3</v>
      </c>
      <c r="D194" s="3" t="s">
        <v>6</v>
      </c>
      <c r="E194" s="4"/>
      <c r="F194" s="4"/>
      <c r="G194" s="4"/>
    </row>
    <row r="195" spans="1:7" x14ac:dyDescent="0.2">
      <c r="A195" s="1" t="str">
        <f>'Population Definitions'!$A$3</f>
        <v>Females 0-14</v>
      </c>
      <c r="B195" t="s">
        <v>20</v>
      </c>
      <c r="C195" s="4">
        <f t="shared" ref="C195:C203" si="2">C171*0.23</f>
        <v>6.2169E-3</v>
      </c>
      <c r="D195" s="3" t="s">
        <v>6</v>
      </c>
      <c r="E195" s="4"/>
      <c r="F195" s="4"/>
      <c r="G195" s="4"/>
    </row>
    <row r="196" spans="1:7" x14ac:dyDescent="0.2">
      <c r="A196" s="1" t="str">
        <f>'Population Definitions'!$A$4</f>
        <v>Males 15-24</v>
      </c>
      <c r="B196" t="s">
        <v>20</v>
      </c>
      <c r="C196" s="4">
        <f t="shared" si="2"/>
        <v>6.2169E-3</v>
      </c>
      <c r="D196" s="3" t="s">
        <v>6</v>
      </c>
      <c r="E196" s="4"/>
      <c r="F196" s="4"/>
      <c r="G196" s="4"/>
    </row>
    <row r="197" spans="1:7" x14ac:dyDescent="0.2">
      <c r="A197" s="1" t="str">
        <f>'Population Definitions'!$A$5</f>
        <v>Females 15-24</v>
      </c>
      <c r="B197" t="s">
        <v>20</v>
      </c>
      <c r="C197" s="4">
        <f t="shared" si="2"/>
        <v>6.2169E-3</v>
      </c>
      <c r="D197" s="3" t="s">
        <v>6</v>
      </c>
      <c r="E197" s="4"/>
      <c r="F197" s="4"/>
      <c r="G197" s="4"/>
    </row>
    <row r="198" spans="1:7" x14ac:dyDescent="0.2">
      <c r="A198" s="1" t="str">
        <f>'Population Definitions'!$A$6</f>
        <v>Males 25-34</v>
      </c>
      <c r="B198" t="s">
        <v>20</v>
      </c>
      <c r="C198" s="4">
        <f t="shared" si="2"/>
        <v>6.2169E-3</v>
      </c>
      <c r="D198" s="3" t="s">
        <v>6</v>
      </c>
      <c r="E198" s="4"/>
      <c r="F198" s="4"/>
      <c r="G198" s="4"/>
    </row>
    <row r="199" spans="1:7" x14ac:dyDescent="0.2">
      <c r="A199" s="1" t="str">
        <f>'Population Definitions'!$A$7</f>
        <v>Females 25-34</v>
      </c>
      <c r="B199" t="s">
        <v>20</v>
      </c>
      <c r="C199" s="4">
        <f t="shared" si="2"/>
        <v>6.2169E-3</v>
      </c>
      <c r="D199" s="3" t="s">
        <v>6</v>
      </c>
      <c r="E199" s="4"/>
      <c r="F199" s="4"/>
      <c r="G199" s="4"/>
    </row>
    <row r="200" spans="1:7" x14ac:dyDescent="0.2">
      <c r="A200" s="1" t="str">
        <f>'Population Definitions'!$A$8</f>
        <v>Males 35-49</v>
      </c>
      <c r="B200" t="s">
        <v>20</v>
      </c>
      <c r="C200" s="4">
        <f t="shared" si="2"/>
        <v>6.2169E-3</v>
      </c>
      <c r="D200" s="3" t="s">
        <v>6</v>
      </c>
      <c r="E200" s="4"/>
      <c r="F200" s="4"/>
      <c r="G200" s="4"/>
    </row>
    <row r="201" spans="1:7" x14ac:dyDescent="0.2">
      <c r="A201" s="1" t="str">
        <f>'Population Definitions'!$A$9</f>
        <v>Females 35-49</v>
      </c>
      <c r="B201" t="s">
        <v>20</v>
      </c>
      <c r="C201" s="4">
        <f t="shared" si="2"/>
        <v>6.2169E-3</v>
      </c>
      <c r="D201" s="3" t="s">
        <v>6</v>
      </c>
      <c r="E201" s="4"/>
      <c r="F201" s="4"/>
      <c r="G201" s="4"/>
    </row>
    <row r="202" spans="1:7" x14ac:dyDescent="0.2">
      <c r="A202" s="1" t="str">
        <f>'Population Definitions'!$A$10</f>
        <v>Males 50+</v>
      </c>
      <c r="B202" t="s">
        <v>20</v>
      </c>
      <c r="C202" s="4">
        <f t="shared" si="2"/>
        <v>6.2169E-3</v>
      </c>
      <c r="D202" s="3" t="s">
        <v>6</v>
      </c>
      <c r="E202" s="4"/>
      <c r="F202" s="4"/>
      <c r="G202" s="4"/>
    </row>
    <row r="203" spans="1:7" x14ac:dyDescent="0.2">
      <c r="A203" s="1" t="str">
        <f>'Population Definitions'!$A$11</f>
        <v>Females 50+</v>
      </c>
      <c r="B203" t="s">
        <v>20</v>
      </c>
      <c r="C203" s="4">
        <f t="shared" si="2"/>
        <v>6.2169E-3</v>
      </c>
      <c r="D203" s="3" t="s">
        <v>6</v>
      </c>
      <c r="E203" s="4"/>
      <c r="F203" s="4"/>
      <c r="G203" s="4"/>
    </row>
    <row r="205" spans="1:7" x14ac:dyDescent="0.2">
      <c r="A205" s="1" t="s">
        <v>31</v>
      </c>
      <c r="B205" s="1" t="s">
        <v>3</v>
      </c>
      <c r="C205" s="1" t="s">
        <v>4</v>
      </c>
      <c r="D205" s="1"/>
      <c r="E205" s="1">
        <v>2017</v>
      </c>
      <c r="F205" s="1">
        <v>2018</v>
      </c>
      <c r="G205" s="1">
        <v>2019</v>
      </c>
    </row>
    <row r="206" spans="1:7" x14ac:dyDescent="0.2">
      <c r="A206" s="1" t="str">
        <f>'Population Definitions'!$A$2</f>
        <v>Males 0-14</v>
      </c>
      <c r="B206" t="s">
        <v>20</v>
      </c>
      <c r="C206" s="4">
        <v>0.01</v>
      </c>
      <c r="D206" s="3" t="s">
        <v>6</v>
      </c>
      <c r="E206" s="4"/>
      <c r="F206" s="4"/>
      <c r="G206" s="4"/>
    </row>
    <row r="207" spans="1:7" x14ac:dyDescent="0.2">
      <c r="A207" s="1" t="str">
        <f>'Population Definitions'!$A$3</f>
        <v>Females 0-14</v>
      </c>
      <c r="B207" t="s">
        <v>20</v>
      </c>
      <c r="C207" s="4">
        <v>0.01</v>
      </c>
      <c r="D207" s="3" t="s">
        <v>6</v>
      </c>
      <c r="E207" s="4"/>
      <c r="F207" s="4"/>
      <c r="G207" s="4"/>
    </row>
    <row r="208" spans="1:7" x14ac:dyDescent="0.2">
      <c r="A208" s="1" t="str">
        <f>'Population Definitions'!$A$4</f>
        <v>Males 15-24</v>
      </c>
      <c r="B208" t="s">
        <v>20</v>
      </c>
      <c r="C208" s="4">
        <v>0.01</v>
      </c>
      <c r="D208" s="3" t="s">
        <v>6</v>
      </c>
      <c r="E208" s="4"/>
      <c r="F208" s="4"/>
      <c r="G208" s="4"/>
    </row>
    <row r="209" spans="1:7" x14ac:dyDescent="0.2">
      <c r="A209" s="1" t="str">
        <f>'Population Definitions'!$A$5</f>
        <v>Females 15-24</v>
      </c>
      <c r="B209" t="s">
        <v>20</v>
      </c>
      <c r="C209" s="4">
        <v>0.01</v>
      </c>
      <c r="D209" s="3" t="s">
        <v>6</v>
      </c>
      <c r="E209" s="4"/>
      <c r="F209" s="4"/>
      <c r="G209" s="4"/>
    </row>
    <row r="210" spans="1:7" x14ac:dyDescent="0.2">
      <c r="A210" s="1" t="str">
        <f>'Population Definitions'!$A$6</f>
        <v>Males 25-34</v>
      </c>
      <c r="B210" t="s">
        <v>20</v>
      </c>
      <c r="C210" s="4">
        <v>0.01</v>
      </c>
      <c r="D210" s="3" t="s">
        <v>6</v>
      </c>
      <c r="E210" s="4"/>
      <c r="F210" s="4"/>
      <c r="G210" s="4"/>
    </row>
    <row r="211" spans="1:7" x14ac:dyDescent="0.2">
      <c r="A211" s="1" t="str">
        <f>'Population Definitions'!$A$7</f>
        <v>Females 25-34</v>
      </c>
      <c r="B211" t="s">
        <v>20</v>
      </c>
      <c r="C211" s="4">
        <v>0.01</v>
      </c>
      <c r="D211" s="3" t="s">
        <v>6</v>
      </c>
      <c r="E211" s="4"/>
      <c r="F211" s="4"/>
      <c r="G211" s="4"/>
    </row>
    <row r="212" spans="1:7" x14ac:dyDescent="0.2">
      <c r="A212" s="1" t="str">
        <f>'Population Definitions'!$A$8</f>
        <v>Males 35-49</v>
      </c>
      <c r="B212" t="s">
        <v>20</v>
      </c>
      <c r="C212" s="4">
        <v>0.01</v>
      </c>
      <c r="D212" s="3" t="s">
        <v>6</v>
      </c>
      <c r="E212" s="4"/>
      <c r="F212" s="4"/>
      <c r="G212" s="4"/>
    </row>
    <row r="213" spans="1:7" x14ac:dyDescent="0.2">
      <c r="A213" s="1" t="str">
        <f>'Population Definitions'!$A$9</f>
        <v>Females 35-49</v>
      </c>
      <c r="B213" t="s">
        <v>20</v>
      </c>
      <c r="C213" s="4">
        <v>0.01</v>
      </c>
      <c r="D213" s="3" t="s">
        <v>6</v>
      </c>
      <c r="E213" s="4"/>
      <c r="F213" s="4"/>
      <c r="G213" s="4"/>
    </row>
    <row r="214" spans="1:7" x14ac:dyDescent="0.2">
      <c r="A214" s="1" t="str">
        <f>'Population Definitions'!$A$10</f>
        <v>Males 50+</v>
      </c>
      <c r="B214" t="s">
        <v>20</v>
      </c>
      <c r="C214" s="4">
        <v>1.4999999999999999E-2</v>
      </c>
      <c r="D214" s="3" t="s">
        <v>6</v>
      </c>
      <c r="E214" s="4"/>
      <c r="F214" s="4"/>
      <c r="G214" s="4"/>
    </row>
    <row r="215" spans="1:7" x14ac:dyDescent="0.2">
      <c r="A215" s="1" t="str">
        <f>'Population Definitions'!$A$11</f>
        <v>Females 50+</v>
      </c>
      <c r="B215" t="s">
        <v>20</v>
      </c>
      <c r="C215" s="4">
        <v>1.4999999999999999E-2</v>
      </c>
      <c r="D215" s="3" t="s">
        <v>6</v>
      </c>
      <c r="E215" s="4"/>
      <c r="F215" s="4"/>
      <c r="G215" s="4"/>
    </row>
    <row r="217" spans="1:7" x14ac:dyDescent="0.2">
      <c r="A217" s="1" t="s">
        <v>42</v>
      </c>
      <c r="B217" s="1" t="s">
        <v>3</v>
      </c>
      <c r="C217" s="1" t="s">
        <v>4</v>
      </c>
      <c r="D217" s="1"/>
      <c r="E217" s="1">
        <v>2017</v>
      </c>
      <c r="F217" s="1">
        <v>2018</v>
      </c>
      <c r="G217" s="1">
        <v>2019</v>
      </c>
    </row>
    <row r="218" spans="1:7" x14ac:dyDescent="0.2">
      <c r="A218" s="1" t="str">
        <f>'Population Definitions'!$A$2</f>
        <v>Males 0-14</v>
      </c>
      <c r="B218" t="s">
        <v>5</v>
      </c>
      <c r="C218" s="4"/>
      <c r="D218" s="3" t="s">
        <v>6</v>
      </c>
      <c r="E218" s="4">
        <f>ROUND(110000*Stocks!E14/SUM(Stocks!$E$14:$E$23),0)</f>
        <v>2696</v>
      </c>
      <c r="F218" s="4"/>
      <c r="G218" s="4"/>
    </row>
    <row r="219" spans="1:7" x14ac:dyDescent="0.2">
      <c r="A219" s="1" t="str">
        <f>'Population Definitions'!$A$3</f>
        <v>Females 0-14</v>
      </c>
      <c r="B219" t="s">
        <v>5</v>
      </c>
      <c r="C219" s="4"/>
      <c r="D219" s="3" t="s">
        <v>6</v>
      </c>
      <c r="E219" s="4">
        <f>ROUND(110000*Stocks!E15/SUM(Stocks!$E$14:$E$23),0)</f>
        <v>3359</v>
      </c>
      <c r="F219" s="4"/>
      <c r="G219" s="4"/>
    </row>
    <row r="220" spans="1:7" x14ac:dyDescent="0.2">
      <c r="A220" s="1" t="str">
        <f>'Population Definitions'!$A$4</f>
        <v>Males 15-24</v>
      </c>
      <c r="B220" t="s">
        <v>5</v>
      </c>
      <c r="C220" s="4"/>
      <c r="D220" s="3" t="s">
        <v>6</v>
      </c>
      <c r="E220" s="4">
        <f>ROUND(110000*Stocks!E16/SUM(Stocks!$E$14:$E$23),0)</f>
        <v>3034</v>
      </c>
      <c r="F220" s="4"/>
      <c r="G220" s="4"/>
    </row>
    <row r="221" spans="1:7" x14ac:dyDescent="0.2">
      <c r="A221" s="1" t="str">
        <f>'Population Definitions'!$A$5</f>
        <v>Females 15-24</v>
      </c>
      <c r="B221" t="s">
        <v>5</v>
      </c>
      <c r="C221" s="4"/>
      <c r="D221" s="3" t="s">
        <v>6</v>
      </c>
      <c r="E221" s="4">
        <f>ROUND(110000*Stocks!E17/SUM(Stocks!$E$14:$E$23),0)</f>
        <v>7002</v>
      </c>
      <c r="F221" s="4"/>
      <c r="G221" s="4"/>
    </row>
    <row r="222" spans="1:7" x14ac:dyDescent="0.2">
      <c r="A222" s="1" t="str">
        <f>'Population Definitions'!$A$6</f>
        <v>Males 25-34</v>
      </c>
      <c r="B222" t="s">
        <v>5</v>
      </c>
      <c r="C222" s="4"/>
      <c r="D222" s="3" t="s">
        <v>6</v>
      </c>
      <c r="E222" s="4">
        <f>ROUND(110000*Stocks!E18/SUM(Stocks!$E$14:$E$23),0)</f>
        <v>11058</v>
      </c>
      <c r="F222" s="4"/>
      <c r="G222" s="4"/>
    </row>
    <row r="223" spans="1:7" x14ac:dyDescent="0.2">
      <c r="A223" s="1" t="str">
        <f>'Population Definitions'!$A$7</f>
        <v>Females 25-34</v>
      </c>
      <c r="B223" t="s">
        <v>5</v>
      </c>
      <c r="C223" s="4"/>
      <c r="D223" s="3" t="s">
        <v>6</v>
      </c>
      <c r="E223" s="4">
        <f>ROUND(110000*Stocks!E19/SUM(Stocks!$E$14:$E$23),0)</f>
        <v>21919</v>
      </c>
      <c r="F223" s="4"/>
      <c r="G223" s="4"/>
    </row>
    <row r="224" spans="1:7" x14ac:dyDescent="0.2">
      <c r="A224" s="1" t="str">
        <f>'Population Definitions'!$A$8</f>
        <v>Males 35-49</v>
      </c>
      <c r="B224" t="s">
        <v>5</v>
      </c>
      <c r="C224" s="4"/>
      <c r="D224" s="3" t="s">
        <v>6</v>
      </c>
      <c r="E224" s="4">
        <f>ROUND(110000*Stocks!E20/SUM(Stocks!$E$14:$E$23),0)</f>
        <v>16650</v>
      </c>
      <c r="F224" s="4"/>
      <c r="G224" s="4"/>
    </row>
    <row r="225" spans="1:7" x14ac:dyDescent="0.2">
      <c r="A225" s="1" t="str">
        <f>'Population Definitions'!$A$9</f>
        <v>Females 35-49</v>
      </c>
      <c r="B225" t="s">
        <v>5</v>
      </c>
      <c r="C225" s="4"/>
      <c r="D225" s="3" t="s">
        <v>6</v>
      </c>
      <c r="E225" s="4">
        <f>ROUND(110000*Stocks!E21/SUM(Stocks!$E$14:$E$23),0)</f>
        <v>25189</v>
      </c>
      <c r="F225" s="4"/>
      <c r="G225" s="4"/>
    </row>
    <row r="226" spans="1:7" x14ac:dyDescent="0.2">
      <c r="A226" s="1" t="str">
        <f>'Population Definitions'!$A$10</f>
        <v>Males 50+</v>
      </c>
      <c r="B226" t="s">
        <v>5</v>
      </c>
      <c r="C226" s="4"/>
      <c r="D226" s="3" t="s">
        <v>6</v>
      </c>
      <c r="E226" s="4">
        <f>ROUND(110000*Stocks!E22/SUM(Stocks!$E$14:$E$23),0)</f>
        <v>6784</v>
      </c>
      <c r="F226" s="4"/>
      <c r="G226" s="4"/>
    </row>
    <row r="227" spans="1:7" x14ac:dyDescent="0.2">
      <c r="A227" s="1" t="str">
        <f>'Population Definitions'!$A$11</f>
        <v>Females 50+</v>
      </c>
      <c r="B227" t="s">
        <v>5</v>
      </c>
      <c r="C227" s="4"/>
      <c r="D227" s="3" t="s">
        <v>6</v>
      </c>
      <c r="E227" s="4">
        <f>ROUND(110000*Stocks!E23/SUM(Stocks!$E$14:$E$23),0)</f>
        <v>12309</v>
      </c>
      <c r="F227" s="4"/>
      <c r="G227" s="4"/>
    </row>
  </sheetData>
  <conditionalFormatting sqref="E50">
    <cfRule type="expression" dxfId="81" priority="61">
      <formula>COUNTIF(G50:J50,"&lt;&gt;" &amp; "")&gt;0</formula>
    </cfRule>
    <cfRule type="expression" dxfId="80" priority="62">
      <formula>AND(COUNTIF(G50:J50,"&lt;&gt;" &amp; "")&gt;0,NOT(ISBLANK(E50)))</formula>
    </cfRule>
  </conditionalFormatting>
  <conditionalFormatting sqref="E51">
    <cfRule type="expression" dxfId="79" priority="63">
      <formula>COUNTIF(G51:J51,"&lt;&gt;" &amp; "")&gt;0</formula>
    </cfRule>
    <cfRule type="expression" dxfId="78" priority="64">
      <formula>AND(COUNTIF(G51:J51,"&lt;&gt;" &amp; "")&gt;0,NOT(ISBLANK(E51)))</formula>
    </cfRule>
  </conditionalFormatting>
  <conditionalFormatting sqref="E52">
    <cfRule type="expression" dxfId="77" priority="65">
      <formula>COUNTIF(G52:J52,"&lt;&gt;" &amp; "")&gt;0</formula>
    </cfRule>
    <cfRule type="expression" dxfId="76" priority="66">
      <formula>AND(COUNTIF(G52:J52,"&lt;&gt;" &amp; "")&gt;0,NOT(ISBLANK(E52)))</formula>
    </cfRule>
  </conditionalFormatting>
  <conditionalFormatting sqref="E53">
    <cfRule type="expression" dxfId="75" priority="67">
      <formula>COUNTIF(G53:J53,"&lt;&gt;" &amp; "")&gt;0</formula>
    </cfRule>
    <cfRule type="expression" dxfId="74" priority="68">
      <formula>AND(COUNTIF(G53:J53,"&lt;&gt;" &amp; "")&gt;0,NOT(ISBLANK(E53)))</formula>
    </cfRule>
  </conditionalFormatting>
  <conditionalFormatting sqref="E54">
    <cfRule type="expression" dxfId="73" priority="69">
      <formula>COUNTIF(G54:J54,"&lt;&gt;" &amp; "")&gt;0</formula>
    </cfRule>
    <cfRule type="expression" dxfId="72" priority="70">
      <formula>AND(COUNTIF(G54:J54,"&lt;&gt;" &amp; "")&gt;0,NOT(ISBLANK(E54)))</formula>
    </cfRule>
  </conditionalFormatting>
  <conditionalFormatting sqref="E55">
    <cfRule type="expression" dxfId="71" priority="71">
      <formula>COUNTIF(G55:J55,"&lt;&gt;" &amp; "")&gt;0</formula>
    </cfRule>
    <cfRule type="expression" dxfId="70" priority="72">
      <formula>AND(COUNTIF(G55:J55,"&lt;&gt;" &amp; "")&gt;0,NOT(ISBLANK(E55)))</formula>
    </cfRule>
  </conditionalFormatting>
  <conditionalFormatting sqref="E56">
    <cfRule type="expression" dxfId="69" priority="73">
      <formula>COUNTIF(G56:J56,"&lt;&gt;" &amp; "")&gt;0</formula>
    </cfRule>
    <cfRule type="expression" dxfId="68" priority="74">
      <formula>AND(COUNTIF(G56:J56,"&lt;&gt;" &amp; "")&gt;0,NOT(ISBLANK(E56)))</formula>
    </cfRule>
  </conditionalFormatting>
  <conditionalFormatting sqref="E57">
    <cfRule type="expression" dxfId="67" priority="75">
      <formula>COUNTIF(G57:J57,"&lt;&gt;" &amp; "")&gt;0</formula>
    </cfRule>
    <cfRule type="expression" dxfId="66" priority="76">
      <formula>AND(COUNTIF(G57:J57,"&lt;&gt;" &amp; "")&gt;0,NOT(ISBLANK(E57)))</formula>
    </cfRule>
  </conditionalFormatting>
  <conditionalFormatting sqref="E58">
    <cfRule type="expression" dxfId="65" priority="77">
      <formula>COUNTIF(G58:J58,"&lt;&gt;" &amp; "")&gt;0</formula>
    </cfRule>
    <cfRule type="expression" dxfId="64" priority="78">
      <formula>AND(COUNTIF(G58:J58,"&lt;&gt;" &amp; "")&gt;0,NOT(ISBLANK(E58)))</formula>
    </cfRule>
  </conditionalFormatting>
  <conditionalFormatting sqref="E59">
    <cfRule type="expression" dxfId="63" priority="79">
      <formula>COUNTIF(G59:J59,"&lt;&gt;" &amp; "")&gt;0</formula>
    </cfRule>
    <cfRule type="expression" dxfId="62" priority="80">
      <formula>AND(COUNTIF(G59:J59,"&lt;&gt;" &amp; "")&gt;0,NOT(ISBLANK(E59)))</formula>
    </cfRule>
  </conditionalFormatting>
  <conditionalFormatting sqref="E74">
    <cfRule type="expression" dxfId="61" priority="41">
      <formula>COUNTIF(G74:J74,"&lt;&gt;" &amp; "")&gt;0</formula>
    </cfRule>
    <cfRule type="expression" dxfId="60" priority="42">
      <formula>AND(COUNTIF(G74:J74,"&lt;&gt;" &amp; "")&gt;0,NOT(ISBLANK(E74)))</formula>
    </cfRule>
  </conditionalFormatting>
  <conditionalFormatting sqref="E75">
    <cfRule type="expression" dxfId="59" priority="43">
      <formula>COUNTIF(G75:J75,"&lt;&gt;" &amp; "")&gt;0</formula>
    </cfRule>
    <cfRule type="expression" dxfId="58" priority="44">
      <formula>AND(COUNTIF(G75:J75,"&lt;&gt;" &amp; "")&gt;0,NOT(ISBLANK(E75)))</formula>
    </cfRule>
  </conditionalFormatting>
  <conditionalFormatting sqref="E76">
    <cfRule type="expression" dxfId="57" priority="45">
      <formula>COUNTIF(G76:J76,"&lt;&gt;" &amp; "")&gt;0</formula>
    </cfRule>
    <cfRule type="expression" dxfId="56" priority="46">
      <formula>AND(COUNTIF(G76:J76,"&lt;&gt;" &amp; "")&gt;0,NOT(ISBLANK(E76)))</formula>
    </cfRule>
  </conditionalFormatting>
  <conditionalFormatting sqref="E77">
    <cfRule type="expression" dxfId="55" priority="47">
      <formula>COUNTIF(G77:J77,"&lt;&gt;" &amp; "")&gt;0</formula>
    </cfRule>
    <cfRule type="expression" dxfId="54" priority="48">
      <formula>AND(COUNTIF(G77:J77,"&lt;&gt;" &amp; "")&gt;0,NOT(ISBLANK(E77)))</formula>
    </cfRule>
  </conditionalFormatting>
  <conditionalFormatting sqref="E78">
    <cfRule type="expression" dxfId="53" priority="49">
      <formula>COUNTIF(G78:J78,"&lt;&gt;" &amp; "")&gt;0</formula>
    </cfRule>
    <cfRule type="expression" dxfId="52" priority="50">
      <formula>AND(COUNTIF(G78:J78,"&lt;&gt;" &amp; "")&gt;0,NOT(ISBLANK(E78)))</formula>
    </cfRule>
  </conditionalFormatting>
  <conditionalFormatting sqref="E79">
    <cfRule type="expression" dxfId="51" priority="51">
      <formula>COUNTIF(G79:J79,"&lt;&gt;" &amp; "")&gt;0</formula>
    </cfRule>
    <cfRule type="expression" dxfId="50" priority="52">
      <formula>AND(COUNTIF(G79:J79,"&lt;&gt;" &amp; "")&gt;0,NOT(ISBLANK(E79)))</formula>
    </cfRule>
  </conditionalFormatting>
  <conditionalFormatting sqref="E80">
    <cfRule type="expression" dxfId="49" priority="53">
      <formula>COUNTIF(G80:J80,"&lt;&gt;" &amp; "")&gt;0</formula>
    </cfRule>
    <cfRule type="expression" dxfId="48" priority="54">
      <formula>AND(COUNTIF(G80:J80,"&lt;&gt;" &amp; "")&gt;0,NOT(ISBLANK(E80)))</formula>
    </cfRule>
  </conditionalFormatting>
  <conditionalFormatting sqref="E81">
    <cfRule type="expression" dxfId="47" priority="55">
      <formula>COUNTIF(G81:J81,"&lt;&gt;" &amp; "")&gt;0</formula>
    </cfRule>
    <cfRule type="expression" dxfId="46" priority="56">
      <formula>AND(COUNTIF(G81:J81,"&lt;&gt;" &amp; "")&gt;0,NOT(ISBLANK(E81)))</formula>
    </cfRule>
  </conditionalFormatting>
  <conditionalFormatting sqref="E82">
    <cfRule type="expression" dxfId="45" priority="57">
      <formula>COUNTIF(G82:J82,"&lt;&gt;" &amp; "")&gt;0</formula>
    </cfRule>
    <cfRule type="expression" dxfId="44" priority="58">
      <formula>AND(COUNTIF(G82:J82,"&lt;&gt;" &amp; "")&gt;0,NOT(ISBLANK(E82)))</formula>
    </cfRule>
  </conditionalFormatting>
  <conditionalFormatting sqref="E83">
    <cfRule type="expression" dxfId="43" priority="59">
      <formula>COUNTIF(G83:J83,"&lt;&gt;" &amp; "")&gt;0</formula>
    </cfRule>
    <cfRule type="expression" dxfId="42" priority="60">
      <formula>AND(COUNTIF(G83:J83,"&lt;&gt;" &amp; "")&gt;0,NOT(ISBLANK(E83)))</formula>
    </cfRule>
  </conditionalFormatting>
  <conditionalFormatting sqref="E86">
    <cfRule type="expression" dxfId="41" priority="21">
      <formula>COUNTIF(G86:J86,"&lt;&gt;" &amp; "")&gt;0</formula>
    </cfRule>
    <cfRule type="expression" dxfId="40" priority="22">
      <formula>AND(COUNTIF(G86:J86,"&lt;&gt;" &amp; "")&gt;0,NOT(ISBLANK(E86)))</formula>
    </cfRule>
  </conditionalFormatting>
  <conditionalFormatting sqref="E87">
    <cfRule type="expression" dxfId="39" priority="23">
      <formula>COUNTIF(G87:J87,"&lt;&gt;" &amp; "")&gt;0</formula>
    </cfRule>
    <cfRule type="expression" dxfId="38" priority="24">
      <formula>AND(COUNTIF(G87:J87,"&lt;&gt;" &amp; "")&gt;0,NOT(ISBLANK(E87)))</formula>
    </cfRule>
  </conditionalFormatting>
  <conditionalFormatting sqref="E88">
    <cfRule type="expression" dxfId="37" priority="25">
      <formula>COUNTIF(G88:J88,"&lt;&gt;" &amp; "")&gt;0</formula>
    </cfRule>
    <cfRule type="expression" dxfId="36" priority="26">
      <formula>AND(COUNTIF(G88:J88,"&lt;&gt;" &amp; "")&gt;0,NOT(ISBLANK(E88)))</formula>
    </cfRule>
  </conditionalFormatting>
  <conditionalFormatting sqref="E89">
    <cfRule type="expression" dxfId="35" priority="27">
      <formula>COUNTIF(G89:J89,"&lt;&gt;" &amp; "")&gt;0</formula>
    </cfRule>
    <cfRule type="expression" dxfId="34" priority="28">
      <formula>AND(COUNTIF(G89:J89,"&lt;&gt;" &amp; "")&gt;0,NOT(ISBLANK(E89)))</formula>
    </cfRule>
  </conditionalFormatting>
  <conditionalFormatting sqref="E90">
    <cfRule type="expression" dxfId="33" priority="29">
      <formula>COUNTIF(G90:J90,"&lt;&gt;" &amp; "")&gt;0</formula>
    </cfRule>
    <cfRule type="expression" dxfId="32" priority="30">
      <formula>AND(COUNTIF(G90:J90,"&lt;&gt;" &amp; "")&gt;0,NOT(ISBLANK(E90)))</formula>
    </cfRule>
  </conditionalFormatting>
  <conditionalFormatting sqref="E91">
    <cfRule type="expression" dxfId="31" priority="31">
      <formula>COUNTIF(G91:J91,"&lt;&gt;" &amp; "")&gt;0</formula>
    </cfRule>
    <cfRule type="expression" dxfId="30" priority="32">
      <formula>AND(COUNTIF(G91:J91,"&lt;&gt;" &amp; "")&gt;0,NOT(ISBLANK(E91)))</formula>
    </cfRule>
  </conditionalFormatting>
  <conditionalFormatting sqref="E92">
    <cfRule type="expression" dxfId="29" priority="33">
      <formula>COUNTIF(G92:J92,"&lt;&gt;" &amp; "")&gt;0</formula>
    </cfRule>
    <cfRule type="expression" dxfId="28" priority="34">
      <formula>AND(COUNTIF(G92:J92,"&lt;&gt;" &amp; "")&gt;0,NOT(ISBLANK(E92)))</formula>
    </cfRule>
  </conditionalFormatting>
  <conditionalFormatting sqref="E93">
    <cfRule type="expression" dxfId="27" priority="35">
      <formula>COUNTIF(G93:J93,"&lt;&gt;" &amp; "")&gt;0</formula>
    </cfRule>
    <cfRule type="expression" dxfId="26" priority="36">
      <formula>AND(COUNTIF(G93:J93,"&lt;&gt;" &amp; "")&gt;0,NOT(ISBLANK(E93)))</formula>
    </cfRule>
  </conditionalFormatting>
  <conditionalFormatting sqref="E94">
    <cfRule type="expression" dxfId="25" priority="37">
      <formula>COUNTIF(G94:J94,"&lt;&gt;" &amp; "")&gt;0</formula>
    </cfRule>
    <cfRule type="expression" dxfId="24" priority="38">
      <formula>AND(COUNTIF(G94:J94,"&lt;&gt;" &amp; "")&gt;0,NOT(ISBLANK(E94)))</formula>
    </cfRule>
  </conditionalFormatting>
  <conditionalFormatting sqref="E95">
    <cfRule type="expression" dxfId="23" priority="39">
      <formula>COUNTIF(G95:J95,"&lt;&gt;" &amp; "")&gt;0</formula>
    </cfRule>
    <cfRule type="expression" dxfId="22" priority="40">
      <formula>AND(COUNTIF(G95:J95,"&lt;&gt;" &amp; "")&gt;0,NOT(ISBLANK(E95)))</formula>
    </cfRule>
  </conditionalFormatting>
  <conditionalFormatting sqref="E98">
    <cfRule type="expression" dxfId="21" priority="1">
      <formula>COUNTIF(G98:J98,"&lt;&gt;" &amp; "")&gt;0</formula>
    </cfRule>
    <cfRule type="expression" dxfId="20" priority="2">
      <formula>AND(COUNTIF(G98:J98,"&lt;&gt;" &amp; "")&gt;0,NOT(ISBLANK(E98)))</formula>
    </cfRule>
  </conditionalFormatting>
  <conditionalFormatting sqref="E99">
    <cfRule type="expression" dxfId="19" priority="3">
      <formula>COUNTIF(G99:J99,"&lt;&gt;" &amp; "")&gt;0</formula>
    </cfRule>
    <cfRule type="expression" dxfId="18" priority="4">
      <formula>AND(COUNTIF(G99:J99,"&lt;&gt;" &amp; "")&gt;0,NOT(ISBLANK(E99)))</formula>
    </cfRule>
  </conditionalFormatting>
  <conditionalFormatting sqref="E100">
    <cfRule type="expression" dxfId="17" priority="5">
      <formula>COUNTIF(G100:J100,"&lt;&gt;" &amp; "")&gt;0</formula>
    </cfRule>
    <cfRule type="expression" dxfId="16" priority="6">
      <formula>AND(COUNTIF(G100:J100,"&lt;&gt;" &amp; "")&gt;0,NOT(ISBLANK(E100)))</formula>
    </cfRule>
  </conditionalFormatting>
  <conditionalFormatting sqref="E101">
    <cfRule type="expression" dxfId="15" priority="7">
      <formula>COUNTIF(G101:J101,"&lt;&gt;" &amp; "")&gt;0</formula>
    </cfRule>
    <cfRule type="expression" dxfId="14" priority="8">
      <formula>AND(COUNTIF(G101:J101,"&lt;&gt;" &amp; "")&gt;0,NOT(ISBLANK(E101)))</formula>
    </cfRule>
  </conditionalFormatting>
  <conditionalFormatting sqref="E102">
    <cfRule type="expression" dxfId="13" priority="9">
      <formula>COUNTIF(G102:J102,"&lt;&gt;" &amp; "")&gt;0</formula>
    </cfRule>
    <cfRule type="expression" dxfId="12" priority="10">
      <formula>AND(COUNTIF(G102:J102,"&lt;&gt;" &amp; "")&gt;0,NOT(ISBLANK(E102)))</formula>
    </cfRule>
  </conditionalFormatting>
  <conditionalFormatting sqref="E103">
    <cfRule type="expression" dxfId="11" priority="11">
      <formula>COUNTIF(G103:J103,"&lt;&gt;" &amp; "")&gt;0</formula>
    </cfRule>
    <cfRule type="expression" dxfId="10" priority="12">
      <formula>AND(COUNTIF(G103:J103,"&lt;&gt;" &amp; "")&gt;0,NOT(ISBLANK(E103)))</formula>
    </cfRule>
  </conditionalFormatting>
  <conditionalFormatting sqref="E104">
    <cfRule type="expression" dxfId="9" priority="13">
      <formula>COUNTIF(G104:J104,"&lt;&gt;" &amp; "")&gt;0</formula>
    </cfRule>
    <cfRule type="expression" dxfId="8" priority="14">
      <formula>AND(COUNTIF(G104:J104,"&lt;&gt;" &amp; "")&gt;0,NOT(ISBLANK(E104)))</formula>
    </cfRule>
  </conditionalFormatting>
  <conditionalFormatting sqref="E105">
    <cfRule type="expression" dxfId="7" priority="15">
      <formula>COUNTIF(G105:J105,"&lt;&gt;" &amp; "")&gt;0</formula>
    </cfRule>
    <cfRule type="expression" dxfId="6" priority="16">
      <formula>AND(COUNTIF(G105:J105,"&lt;&gt;" &amp; "")&gt;0,NOT(ISBLANK(E105)))</formula>
    </cfRule>
  </conditionalFormatting>
  <conditionalFormatting sqref="E106">
    <cfRule type="expression" dxfId="5" priority="17">
      <formula>COUNTIF(G106:J106,"&lt;&gt;" &amp; "")&gt;0</formula>
    </cfRule>
    <cfRule type="expression" dxfId="4" priority="18">
      <formula>AND(COUNTIF(G106:J106,"&lt;&gt;" &amp; "")&gt;0,NOT(ISBLANK(E106)))</formula>
    </cfRule>
  </conditionalFormatting>
  <conditionalFormatting sqref="E107">
    <cfRule type="expression" dxfId="3" priority="19">
      <formula>COUNTIF(G107:J107,"&lt;&gt;" &amp; "")&gt;0</formula>
    </cfRule>
    <cfRule type="expression" dxfId="2" priority="20">
      <formula>AND(COUNTIF(G107:J107,"&lt;&gt;" &amp; "")&gt;0,NOT(ISBLANK(E107)))</formula>
    </cfRule>
  </conditionalFormatting>
  <conditionalFormatting sqref="C146:C155 C158:C167 C182:C191 C194:C203 C14:C23 C26:C35 C38:C47 C50:C59 C62:C71 C74:C83 C2:C11 C86:C95 C98:C107 C218:C227 C206:C215 C122:C131 C134:C143 C110:C119 C170:C179">
    <cfRule type="expression" dxfId="1" priority="617">
      <formula>COUNTIF(E2:G2,"&lt;&gt;" &amp; "")&gt;0</formula>
    </cfRule>
    <cfRule type="expression" dxfId="0" priority="618">
      <formula>AND(COUNTIF(E2:G2,"&lt;&gt;" &amp; "")&gt;0,NOT(ISBLANK(C2)))</formula>
    </cfRule>
  </conditionalFormatting>
  <dataValidations count="6">
    <dataValidation type="list" allowBlank="1" showInputMessage="1" showErrorMessage="1" sqref="B62:B71 B2:B11" xr:uid="{00000000-0002-0000-0200-000000000000}">
      <formula1>"Number (per year)"</formula1>
    </dataValidation>
    <dataValidation type="list" allowBlank="1" showInputMessage="1" showErrorMessage="1" sqref="B26:B35 B14:B23 B218:B227" xr:uid="{00000000-0002-0000-0200-00000A000000}">
      <formula1>"Number"</formula1>
    </dataValidation>
    <dataValidation type="list" allowBlank="1" showInputMessage="1" showErrorMessage="1" sqref="B38:B47" xr:uid="{00000000-0002-0000-0200-00001E000000}">
      <formula1>"Proportion"</formula1>
    </dataValidation>
    <dataValidation type="list" allowBlank="1" showInputMessage="1" showErrorMessage="1" sqref="B206:B215 B194:B203 B182:B191 B170:B179 B158:B167 B98:B107 B86:B95 B74:B83 B50:B59" xr:uid="{00000000-0002-0000-0200-000028000000}">
      <formula1>"Probability (per year)"</formula1>
    </dataValidation>
    <dataValidation type="list" allowBlank="1" showInputMessage="1" showErrorMessage="1" sqref="B146:B155" xr:uid="{00000000-0002-0000-0200-00005A000000}">
      <formula1>"Duration (years)"</formula1>
    </dataValidation>
    <dataValidation type="list" allowBlank="1" showInputMessage="1" showErrorMessage="1" sqref="B134:B143 B122:B131" xr:uid="{685EDB9A-0B80-E141-A03B-6F142E546F79}">
      <formula1>"Probability"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B0F5-B365-054E-9AE1-258ACEE3C3CE}">
  <sheetPr>
    <tabColor rgb="FF92D050"/>
  </sheetPr>
  <dimension ref="B2:AC85"/>
  <sheetViews>
    <sheetView workbookViewId="0">
      <selection activeCell="D2" sqref="D2"/>
    </sheetView>
  </sheetViews>
  <sheetFormatPr baseColWidth="10" defaultRowHeight="15" x14ac:dyDescent="0.2"/>
  <cols>
    <col min="6" max="6" width="12" bestFit="1" customWidth="1"/>
    <col min="7" max="7" width="18.6640625" customWidth="1"/>
    <col min="8" max="8" width="22.1640625" bestFit="1" customWidth="1"/>
    <col min="9" max="9" width="19" bestFit="1" customWidth="1"/>
  </cols>
  <sheetData>
    <row r="2" spans="2:18" x14ac:dyDescent="0.2">
      <c r="B2" t="s">
        <v>43</v>
      </c>
      <c r="D2">
        <v>1.8</v>
      </c>
      <c r="G2" s="8" t="s">
        <v>48</v>
      </c>
      <c r="K2" t="s">
        <v>52</v>
      </c>
    </row>
    <row r="3" spans="2:18" x14ac:dyDescent="0.2">
      <c r="K3">
        <v>12</v>
      </c>
      <c r="L3">
        <f>$K$3/(1-0.5)</f>
        <v>24</v>
      </c>
      <c r="M3">
        <f>$K$3/(1-0.96)</f>
        <v>299.99999999999972</v>
      </c>
    </row>
    <row r="4" spans="2:18" x14ac:dyDescent="0.2">
      <c r="E4" s="8"/>
      <c r="G4" s="8" t="s">
        <v>47</v>
      </c>
      <c r="H4" s="8" t="s">
        <v>49</v>
      </c>
      <c r="I4" s="8" t="s">
        <v>50</v>
      </c>
      <c r="N4" s="8" t="s">
        <v>51</v>
      </c>
    </row>
    <row r="5" spans="2:18" x14ac:dyDescent="0.2">
      <c r="F5" t="s">
        <v>32</v>
      </c>
      <c r="G5" s="7">
        <f>Stocks!E14-H5-I5</f>
        <v>79645</v>
      </c>
      <c r="H5" s="7">
        <f>Stocks!E74-I5</f>
        <v>21296</v>
      </c>
      <c r="I5" s="7">
        <f>Stocks!E86</f>
        <v>75503</v>
      </c>
      <c r="K5" s="7">
        <f>G5/K$3</f>
        <v>6637.083333333333</v>
      </c>
      <c r="L5" s="7">
        <f>H5/L$3</f>
        <v>887.33333333333337</v>
      </c>
      <c r="M5" s="7">
        <f t="shared" ref="M5:M14" si="0">I5/M$3</f>
        <v>251.6766666666669</v>
      </c>
      <c r="N5" s="7">
        <f>SUM(K5:M5)</f>
        <v>7776.0933333333332</v>
      </c>
      <c r="P5" s="11">
        <f>K5/$N5</f>
        <v>0.85352413465544819</v>
      </c>
      <c r="Q5" s="11">
        <f t="shared" ref="Q5:Q14" si="1">L5/$N5</f>
        <v>0.11411042734397907</v>
      </c>
      <c r="R5" s="11">
        <f t="shared" ref="R5:R14" si="2">M5/$N5</f>
        <v>3.2365438000572726E-2</v>
      </c>
    </row>
    <row r="6" spans="2:18" x14ac:dyDescent="0.2">
      <c r="F6" t="s">
        <v>33</v>
      </c>
      <c r="G6" s="7">
        <f>Stocks!E15-H6-I6</f>
        <v>116237</v>
      </c>
      <c r="H6" s="7">
        <f>Stocks!E75-I6</f>
        <v>22800</v>
      </c>
      <c r="I6" s="7">
        <f>Stocks!E87</f>
        <v>80837</v>
      </c>
      <c r="K6" s="7">
        <f t="shared" ref="K6:K14" si="3">G6/K$3</f>
        <v>9686.4166666666661</v>
      </c>
      <c r="L6" s="7">
        <f t="shared" ref="L6:L14" si="4">H6/L$3</f>
        <v>950</v>
      </c>
      <c r="M6" s="7">
        <f t="shared" si="0"/>
        <v>269.45666666666693</v>
      </c>
      <c r="N6" s="7">
        <f t="shared" ref="N6:N15" si="5">SUM(K6:M6)</f>
        <v>10905.873333333333</v>
      </c>
      <c r="P6" s="11">
        <f t="shared" ref="P6:P14" si="6">K6/$N6</f>
        <v>0.88818349256455698</v>
      </c>
      <c r="Q6" s="11">
        <f t="shared" si="1"/>
        <v>8.7109025656511699E-2</v>
      </c>
      <c r="R6" s="11">
        <f t="shared" si="2"/>
        <v>2.4707481778931378E-2</v>
      </c>
    </row>
    <row r="7" spans="2:18" x14ac:dyDescent="0.2">
      <c r="F7" t="s">
        <v>34</v>
      </c>
      <c r="G7" s="7">
        <f>Stocks!E16-H7-I7</f>
        <v>103221</v>
      </c>
      <c r="H7" s="7">
        <f>Stocks!E76-I7</f>
        <v>20974</v>
      </c>
      <c r="I7" s="7">
        <f>Stocks!E88</f>
        <v>74364</v>
      </c>
      <c r="K7" s="7">
        <f t="shared" si="3"/>
        <v>8601.75</v>
      </c>
      <c r="L7" s="7">
        <f t="shared" si="4"/>
        <v>873.91666666666663</v>
      </c>
      <c r="M7" s="7">
        <f t="shared" si="0"/>
        <v>247.88000000000022</v>
      </c>
      <c r="N7" s="7">
        <f t="shared" si="5"/>
        <v>9723.5466666666671</v>
      </c>
      <c r="P7" s="11">
        <f t="shared" si="6"/>
        <v>0.88463091656542325</v>
      </c>
      <c r="Q7" s="11">
        <f t="shared" si="1"/>
        <v>8.987632770484294E-2</v>
      </c>
      <c r="R7" s="11">
        <f t="shared" si="2"/>
        <v>2.5492755729733755E-2</v>
      </c>
    </row>
    <row r="8" spans="2:18" x14ac:dyDescent="0.2">
      <c r="F8" t="s">
        <v>35</v>
      </c>
      <c r="G8" s="7">
        <f>Stocks!E17-H8-I8</f>
        <v>247223</v>
      </c>
      <c r="H8" s="7">
        <f>Stocks!E77-I8</f>
        <v>46442</v>
      </c>
      <c r="I8" s="7">
        <f>Stocks!E89</f>
        <v>164659</v>
      </c>
      <c r="K8" s="7">
        <f t="shared" si="3"/>
        <v>20601.916666666668</v>
      </c>
      <c r="L8" s="7">
        <f t="shared" si="4"/>
        <v>1935.0833333333333</v>
      </c>
      <c r="M8" s="7">
        <f t="shared" si="0"/>
        <v>548.8633333333338</v>
      </c>
      <c r="N8" s="7">
        <f t="shared" si="5"/>
        <v>23085.863333333335</v>
      </c>
      <c r="P8" s="11">
        <f t="shared" si="6"/>
        <v>0.89240399499895973</v>
      </c>
      <c r="Q8" s="11">
        <f t="shared" si="1"/>
        <v>8.3821137870953924E-2</v>
      </c>
      <c r="R8" s="11">
        <f t="shared" si="2"/>
        <v>2.3774867130086412E-2</v>
      </c>
    </row>
    <row r="9" spans="2:18" x14ac:dyDescent="0.2">
      <c r="F9" t="s">
        <v>36</v>
      </c>
      <c r="G9" s="7">
        <f>Stocks!E18-H9-I9</f>
        <v>430071</v>
      </c>
      <c r="H9" s="7">
        <f>Stocks!E78-I9</f>
        <v>64624</v>
      </c>
      <c r="I9" s="7">
        <f>Stocks!E90</f>
        <v>229123</v>
      </c>
      <c r="K9" s="7">
        <f t="shared" si="3"/>
        <v>35839.25</v>
      </c>
      <c r="L9" s="7">
        <f t="shared" si="4"/>
        <v>2692.6666666666665</v>
      </c>
      <c r="M9" s="7">
        <f t="shared" si="0"/>
        <v>763.74333333333402</v>
      </c>
      <c r="N9" s="7">
        <f t="shared" si="5"/>
        <v>39295.659999999996</v>
      </c>
      <c r="P9" s="11">
        <f t="shared" si="6"/>
        <v>0.91204092258534408</v>
      </c>
      <c r="Q9" s="11">
        <f t="shared" si="1"/>
        <v>6.8523258463317999E-2</v>
      </c>
      <c r="R9" s="11">
        <f t="shared" si="2"/>
        <v>1.9435818951337988E-2</v>
      </c>
    </row>
    <row r="10" spans="2:18" x14ac:dyDescent="0.2">
      <c r="F10" t="s">
        <v>37</v>
      </c>
      <c r="G10" s="7">
        <f>Stocks!E19-H10-I10</f>
        <v>473641</v>
      </c>
      <c r="H10" s="7">
        <f>Stocks!E79-I10</f>
        <v>211431</v>
      </c>
      <c r="I10" s="7">
        <f>Stocks!E91</f>
        <v>749620</v>
      </c>
      <c r="K10" s="7">
        <f t="shared" si="3"/>
        <v>39470.083333333336</v>
      </c>
      <c r="L10" s="7">
        <f t="shared" si="4"/>
        <v>8809.625</v>
      </c>
      <c r="M10" s="7">
        <f t="shared" si="0"/>
        <v>2498.7333333333358</v>
      </c>
      <c r="N10" s="7">
        <f t="shared" si="5"/>
        <v>50778.441666666673</v>
      </c>
      <c r="P10" s="11">
        <f t="shared" si="6"/>
        <v>0.77730001232478407</v>
      </c>
      <c r="Q10" s="11">
        <f t="shared" si="1"/>
        <v>0.17349144067536532</v>
      </c>
      <c r="R10" s="11">
        <f t="shared" si="2"/>
        <v>4.9208546999850535E-2</v>
      </c>
    </row>
    <row r="11" spans="2:18" x14ac:dyDescent="0.2">
      <c r="F11" t="s">
        <v>38</v>
      </c>
      <c r="G11" s="7">
        <f>Stocks!E20-H11-I11</f>
        <v>475307</v>
      </c>
      <c r="H11" s="7">
        <f>Stocks!E80-I11</f>
        <v>135187</v>
      </c>
      <c r="I11" s="7">
        <f>Stocks!E92</f>
        <v>479301</v>
      </c>
      <c r="K11" s="7">
        <f t="shared" si="3"/>
        <v>39608.916666666664</v>
      </c>
      <c r="L11" s="7">
        <f t="shared" si="4"/>
        <v>5632.791666666667</v>
      </c>
      <c r="M11" s="7">
        <f t="shared" si="0"/>
        <v>1597.6700000000014</v>
      </c>
      <c r="N11" s="7">
        <f t="shared" si="5"/>
        <v>46839.378333333327</v>
      </c>
      <c r="P11" s="11">
        <f t="shared" si="6"/>
        <v>0.84563284304904851</v>
      </c>
      <c r="Q11" s="11">
        <f t="shared" si="1"/>
        <v>0.12025760945375487</v>
      </c>
      <c r="R11" s="11">
        <f t="shared" si="2"/>
        <v>3.4109547497196753E-2</v>
      </c>
    </row>
    <row r="12" spans="2:18" x14ac:dyDescent="0.2">
      <c r="F12" t="s">
        <v>39</v>
      </c>
      <c r="G12" s="7">
        <f>Stocks!E21-H12-I12</f>
        <v>511248</v>
      </c>
      <c r="H12" s="7">
        <f>Stocks!E81-I12</f>
        <v>250247</v>
      </c>
      <c r="I12" s="7">
        <f>Stocks!E93</f>
        <v>887241</v>
      </c>
      <c r="K12" s="7">
        <f t="shared" si="3"/>
        <v>42604</v>
      </c>
      <c r="L12" s="7">
        <f t="shared" si="4"/>
        <v>10426.958333333334</v>
      </c>
      <c r="M12" s="7">
        <f t="shared" si="0"/>
        <v>2957.470000000003</v>
      </c>
      <c r="N12" s="7">
        <f t="shared" si="5"/>
        <v>55988.428333333337</v>
      </c>
      <c r="P12" s="11">
        <f t="shared" si="6"/>
        <v>0.76094295318226024</v>
      </c>
      <c r="Q12" s="11">
        <f t="shared" si="1"/>
        <v>0.18623416737571696</v>
      </c>
      <c r="R12" s="11">
        <f t="shared" si="2"/>
        <v>5.2822879442022845E-2</v>
      </c>
    </row>
    <row r="13" spans="2:18" x14ac:dyDescent="0.2">
      <c r="F13" t="s">
        <v>40</v>
      </c>
      <c r="G13" s="7">
        <f>Stocks!E22-H13-I13</f>
        <v>112293</v>
      </c>
      <c r="H13" s="7">
        <f>Stocks!E82-I13</f>
        <v>72989</v>
      </c>
      <c r="I13" s="7">
        <f>Stocks!E94</f>
        <v>258778</v>
      </c>
      <c r="K13" s="7">
        <f t="shared" si="3"/>
        <v>9357.75</v>
      </c>
      <c r="L13" s="7">
        <f t="shared" si="4"/>
        <v>3041.2083333333335</v>
      </c>
      <c r="M13" s="7">
        <f t="shared" si="0"/>
        <v>862.59333333333416</v>
      </c>
      <c r="N13" s="7">
        <f t="shared" si="5"/>
        <v>13261.551666666668</v>
      </c>
      <c r="P13" s="11">
        <f t="shared" si="6"/>
        <v>0.70563009783545938</v>
      </c>
      <c r="Q13" s="11">
        <f t="shared" si="1"/>
        <v>0.22932522601993155</v>
      </c>
      <c r="R13" s="11">
        <f t="shared" si="2"/>
        <v>6.504467614460907E-2</v>
      </c>
    </row>
    <row r="14" spans="2:18" x14ac:dyDescent="0.2">
      <c r="F14" t="s">
        <v>41</v>
      </c>
      <c r="G14" s="7">
        <f>Stocks!E23-H14-I14</f>
        <v>244715</v>
      </c>
      <c r="H14" s="7">
        <f>Stocks!E83-I14</f>
        <v>123416</v>
      </c>
      <c r="I14" s="7">
        <f>Stocks!E95</f>
        <v>437566</v>
      </c>
      <c r="K14" s="7">
        <f t="shared" si="3"/>
        <v>20392.916666666668</v>
      </c>
      <c r="L14" s="7">
        <f t="shared" si="4"/>
        <v>5142.333333333333</v>
      </c>
      <c r="M14" s="7">
        <f t="shared" si="0"/>
        <v>1458.5533333333346</v>
      </c>
      <c r="N14" s="7">
        <f t="shared" si="5"/>
        <v>26993.803333333333</v>
      </c>
      <c r="P14" s="11">
        <f t="shared" si="6"/>
        <v>0.75546659412326855</v>
      </c>
      <c r="Q14" s="11">
        <f t="shared" si="1"/>
        <v>0.19050051116669861</v>
      </c>
      <c r="R14" s="11">
        <f t="shared" si="2"/>
        <v>5.4032894710032885E-2</v>
      </c>
    </row>
    <row r="15" spans="2:18" x14ac:dyDescent="0.2">
      <c r="F15" s="8" t="s">
        <v>51</v>
      </c>
      <c r="G15" s="10">
        <f>SUM(G5:G14)</f>
        <v>2793601</v>
      </c>
      <c r="H15" s="10">
        <f>SUM(H5:H14)</f>
        <v>969406</v>
      </c>
      <c r="I15" s="10">
        <f>SUM(I5:I14)</f>
        <v>3436992</v>
      </c>
      <c r="K15" s="10">
        <f>SUM(K5:K14)</f>
        <v>232800.08333333331</v>
      </c>
      <c r="L15" s="10">
        <f>SUM(L5:L14)</f>
        <v>40391.916666666672</v>
      </c>
      <c r="M15" s="10">
        <f>SUM(M5:M14)</f>
        <v>11456.640000000012</v>
      </c>
      <c r="N15" s="10">
        <f t="shared" si="5"/>
        <v>284648.64</v>
      </c>
      <c r="O15" s="7"/>
      <c r="P15" s="11">
        <f t="shared" ref="P15" si="7">K15/$N15</f>
        <v>0.8178506784129842</v>
      </c>
      <c r="Q15" s="11">
        <f t="shared" ref="Q15" si="8">L15/$N15</f>
        <v>0.14190096487608958</v>
      </c>
      <c r="R15" s="11">
        <f t="shared" ref="R15" si="9">M15/$N15</f>
        <v>4.0248356710926185E-2</v>
      </c>
    </row>
    <row r="16" spans="2:18" x14ac:dyDescent="0.2">
      <c r="M16" s="7"/>
    </row>
    <row r="22" spans="7:29" x14ac:dyDescent="0.2">
      <c r="H22" s="8" t="s">
        <v>77</v>
      </c>
      <c r="I22" s="20" t="s">
        <v>86</v>
      </c>
      <c r="J22" s="8" t="s">
        <v>87</v>
      </c>
      <c r="K22" s="8" t="s">
        <v>88</v>
      </c>
      <c r="O22" s="8" t="s">
        <v>87</v>
      </c>
      <c r="P22" s="8" t="s">
        <v>88</v>
      </c>
      <c r="Q22" s="8" t="s">
        <v>89</v>
      </c>
      <c r="U22" t="s">
        <v>91</v>
      </c>
      <c r="V22" t="s">
        <v>103</v>
      </c>
      <c r="W22" t="s">
        <v>95</v>
      </c>
      <c r="Z22" s="8" t="s">
        <v>94</v>
      </c>
      <c r="AA22" s="8" t="s">
        <v>96</v>
      </c>
    </row>
    <row r="23" spans="7:29" x14ac:dyDescent="0.2">
      <c r="G23" t="s">
        <v>32</v>
      </c>
      <c r="H23" s="18">
        <v>2.4E-2</v>
      </c>
      <c r="I23">
        <f>SUM(H47:H49)</f>
        <v>8534942</v>
      </c>
      <c r="J23">
        <f>I23/(1.025)</f>
        <v>8326772.6829268299</v>
      </c>
      <c r="K23">
        <f>H23*J23</f>
        <v>199842.54439024391</v>
      </c>
      <c r="N23" t="s">
        <v>32</v>
      </c>
      <c r="O23">
        <f>ROUND(J23,0)</f>
        <v>8326773</v>
      </c>
      <c r="P23">
        <f>K23</f>
        <v>199842.54439024391</v>
      </c>
      <c r="Q23">
        <f>ROUND(P23/P$33*P$34,0)</f>
        <v>176444</v>
      </c>
      <c r="R23" s="17">
        <f>Q23/Stocks!E2</f>
        <v>2.1189961585358456E-2</v>
      </c>
      <c r="T23" t="s">
        <v>32</v>
      </c>
      <c r="U23" s="18">
        <v>0.56100000000000005</v>
      </c>
      <c r="V23">
        <f>K23</f>
        <v>199842.54439024391</v>
      </c>
      <c r="W23" s="15">
        <f>U23*V23</f>
        <v>112111.66740292685</v>
      </c>
      <c r="Y23" t="s">
        <v>32</v>
      </c>
      <c r="Z23">
        <f>W23</f>
        <v>112111.66740292685</v>
      </c>
      <c r="AA23">
        <f>ROUND(Z23/Z$33*Z$34,0)</f>
        <v>75503</v>
      </c>
      <c r="AB23" s="17"/>
      <c r="AC23" s="11">
        <f>AA23/Q23</f>
        <v>0.42791480583074515</v>
      </c>
    </row>
    <row r="24" spans="7:29" x14ac:dyDescent="0.2">
      <c r="G24" t="s">
        <v>33</v>
      </c>
      <c r="H24" s="19">
        <v>0.03</v>
      </c>
      <c r="I24">
        <f>SUM(H50:H52)</f>
        <v>8508575</v>
      </c>
      <c r="J24">
        <f t="shared" ref="J24:J44" si="10">I24/(1.025)</f>
        <v>8301048.7804878056</v>
      </c>
      <c r="K24">
        <f>H24*J24</f>
        <v>249031.46341463417</v>
      </c>
      <c r="N24" t="s">
        <v>33</v>
      </c>
      <c r="O24">
        <f>ROUND(J24,0)</f>
        <v>8301049</v>
      </c>
      <c r="P24">
        <f>K24</f>
        <v>249031.46341463417</v>
      </c>
      <c r="Q24">
        <f>ROUND(P24/P$33*P$34,0)</f>
        <v>219874</v>
      </c>
      <c r="R24" s="17">
        <f>Q24/Stocks!E3</f>
        <v>2.6487495736984567E-2</v>
      </c>
      <c r="T24" t="s">
        <v>33</v>
      </c>
      <c r="U24" s="18">
        <v>0.48199999999999998</v>
      </c>
      <c r="V24">
        <f>K24</f>
        <v>249031.46341463417</v>
      </c>
      <c r="W24" s="15">
        <f t="shared" ref="W24:W34" si="11">U24*V24</f>
        <v>120033.16536585367</v>
      </c>
      <c r="Y24" t="s">
        <v>33</v>
      </c>
      <c r="Z24">
        <f>W24</f>
        <v>120033.16536585367</v>
      </c>
      <c r="AA24">
        <f>ROUND(Z24/Z$33*Z$34,0)</f>
        <v>80837</v>
      </c>
      <c r="AB24" s="17"/>
      <c r="AC24" s="11">
        <f>AA24/Q24</f>
        <v>0.36765147311642121</v>
      </c>
    </row>
    <row r="25" spans="7:29" x14ac:dyDescent="0.2">
      <c r="G25" t="s">
        <v>57</v>
      </c>
      <c r="H25" s="18">
        <v>4.7E-2</v>
      </c>
      <c r="I25">
        <f>H53</f>
        <v>2360947</v>
      </c>
      <c r="J25">
        <f t="shared" si="10"/>
        <v>2303362.9268292687</v>
      </c>
      <c r="K25">
        <f>H25*J25</f>
        <v>108258.05756097563</v>
      </c>
      <c r="N25" t="s">
        <v>34</v>
      </c>
      <c r="O25">
        <f>ROUND(SUM(J25,J27),0)</f>
        <v>4733211</v>
      </c>
      <c r="P25">
        <f>SUM(K25,K27)</f>
        <v>224890.75219512201</v>
      </c>
      <c r="Q25">
        <f>ROUND(P25/P$33*P$34,0)</f>
        <v>198559</v>
      </c>
      <c r="R25" s="17">
        <f>Q25/Stocks!E4</f>
        <v>4.1950168712106856E-2</v>
      </c>
      <c r="T25" t="s">
        <v>34</v>
      </c>
      <c r="U25" s="18">
        <v>0.49099999999999999</v>
      </c>
      <c r="V25">
        <f>K25+K27</f>
        <v>224890.75219512201</v>
      </c>
      <c r="W25" s="15">
        <f t="shared" si="11"/>
        <v>110421.35932780491</v>
      </c>
      <c r="Y25" t="s">
        <v>34</v>
      </c>
      <c r="Z25">
        <f>W25</f>
        <v>110421.35932780491</v>
      </c>
      <c r="AA25">
        <f>ROUND(Z25/Z$33*Z$34,0)</f>
        <v>74364</v>
      </c>
      <c r="AB25" s="17"/>
      <c r="AC25" s="11">
        <f>AA25/Q25</f>
        <v>0.37451840510880896</v>
      </c>
    </row>
    <row r="26" spans="7:29" x14ac:dyDescent="0.2">
      <c r="G26" t="s">
        <v>58</v>
      </c>
      <c r="H26" s="18">
        <v>5.8000000000000003E-2</v>
      </c>
      <c r="I26">
        <f>H55</f>
        <v>2372843</v>
      </c>
      <c r="J26">
        <f t="shared" si="10"/>
        <v>2314968.7804878051</v>
      </c>
      <c r="K26">
        <f>H26*J26</f>
        <v>134268.18926829271</v>
      </c>
      <c r="N26" t="s">
        <v>35</v>
      </c>
      <c r="O26">
        <f>ROUND(SUM(J26,J28),0)</f>
        <v>4781862</v>
      </c>
      <c r="P26">
        <f>SUM(K26,K28)</f>
        <v>519103.60000000009</v>
      </c>
      <c r="Q26">
        <f>ROUND(P26/P$33*P$34,0)</f>
        <v>458324</v>
      </c>
      <c r="R26" s="17">
        <f>Q26/Stocks!E5</f>
        <v>9.5846346046790973E-2</v>
      </c>
      <c r="T26" t="s">
        <v>35</v>
      </c>
      <c r="U26" s="18">
        <v>0.47099999999999997</v>
      </c>
      <c r="V26">
        <f>K26+K28</f>
        <v>519103.60000000009</v>
      </c>
      <c r="W26" s="15">
        <f t="shared" si="11"/>
        <v>244497.79560000004</v>
      </c>
      <c r="Y26" t="s">
        <v>35</v>
      </c>
      <c r="Z26">
        <f>W26</f>
        <v>244497.79560000004</v>
      </c>
      <c r="AA26">
        <f>ROUND(Z26/Z$33*Z$34,0)</f>
        <v>164659</v>
      </c>
      <c r="AB26" s="17"/>
      <c r="AC26" s="11">
        <f>AA26/Q26</f>
        <v>0.35926331590752392</v>
      </c>
    </row>
    <row r="27" spans="7:29" x14ac:dyDescent="0.2">
      <c r="G27" t="s">
        <v>59</v>
      </c>
      <c r="H27" s="18">
        <v>4.8000000000000001E-2</v>
      </c>
      <c r="I27">
        <f>H54</f>
        <v>2490594</v>
      </c>
      <c r="J27">
        <f t="shared" si="10"/>
        <v>2429847.8048780491</v>
      </c>
      <c r="K27">
        <f>H27*J27</f>
        <v>116632.69463414636</v>
      </c>
      <c r="N27" t="s">
        <v>36</v>
      </c>
      <c r="O27">
        <f>ROUND(SUM(J29,J31),0)</f>
        <v>5332443</v>
      </c>
      <c r="P27">
        <f>SUM(K29,K31)</f>
        <v>819804.91317073186</v>
      </c>
      <c r="Q27">
        <f>ROUND(P27/P$33*P$34,0)</f>
        <v>723818</v>
      </c>
      <c r="R27" s="17">
        <f>Q27/Stocks!E6</f>
        <v>0.13573853485166179</v>
      </c>
      <c r="T27" t="s">
        <v>36</v>
      </c>
      <c r="U27" s="18">
        <v>0.41499999999999998</v>
      </c>
      <c r="V27">
        <f>K29+K31</f>
        <v>819804.91317073186</v>
      </c>
      <c r="W27" s="15">
        <f t="shared" si="11"/>
        <v>340219.03896585369</v>
      </c>
      <c r="Y27" t="s">
        <v>36</v>
      </c>
      <c r="Z27">
        <f>W27</f>
        <v>340219.03896585369</v>
      </c>
      <c r="AA27">
        <f>ROUND(Z27/Z$33*Z$34,0)</f>
        <v>229123</v>
      </c>
      <c r="AB27" s="17"/>
      <c r="AC27" s="11">
        <f>AA27/Q27</f>
        <v>0.31654780621647982</v>
      </c>
    </row>
    <row r="28" spans="7:29" x14ac:dyDescent="0.2">
      <c r="G28" t="s">
        <v>60</v>
      </c>
      <c r="H28" s="18">
        <v>0.156</v>
      </c>
      <c r="I28">
        <f>H56</f>
        <v>2528566</v>
      </c>
      <c r="J28">
        <f t="shared" si="10"/>
        <v>2466893.6585365855</v>
      </c>
      <c r="K28">
        <f>H28*J28</f>
        <v>384835.41073170735</v>
      </c>
      <c r="N28" t="s">
        <v>37</v>
      </c>
      <c r="O28">
        <f>ROUND(SUM(J30,J32),0)</f>
        <v>5235551</v>
      </c>
      <c r="P28">
        <f>SUM(K30,K32)</f>
        <v>1624948.8546341464</v>
      </c>
      <c r="Q28">
        <f>ROUND(P28/P$33*P$34,0)</f>
        <v>1434692</v>
      </c>
      <c r="R28" s="17">
        <f>Q28/Stocks!E7</f>
        <v>0.2740288462475105</v>
      </c>
      <c r="T28" t="s">
        <v>37</v>
      </c>
      <c r="U28" s="18">
        <v>0.68500000000000005</v>
      </c>
      <c r="V28">
        <f>K30+K32</f>
        <v>1624948.8546341464</v>
      </c>
      <c r="W28" s="15">
        <f t="shared" si="11"/>
        <v>1113089.9654243905</v>
      </c>
      <c r="Y28" t="s">
        <v>37</v>
      </c>
      <c r="Z28">
        <f>W28</f>
        <v>1113089.9654243905</v>
      </c>
      <c r="AA28">
        <f>ROUND(Z28/Z$33*Z$34,0)</f>
        <v>749620</v>
      </c>
      <c r="AB28" s="17"/>
      <c r="AC28" s="11">
        <f>AA28/Q28</f>
        <v>0.52249542061989607</v>
      </c>
    </row>
    <row r="29" spans="7:29" x14ac:dyDescent="0.2">
      <c r="G29" t="s">
        <v>61</v>
      </c>
      <c r="H29" s="18">
        <v>0.124</v>
      </c>
      <c r="I29">
        <f>H57</f>
        <v>2756645</v>
      </c>
      <c r="J29">
        <f t="shared" si="10"/>
        <v>2689409.7560975612</v>
      </c>
      <c r="K29">
        <f>H29*J29</f>
        <v>333486.80975609762</v>
      </c>
      <c r="N29" t="s">
        <v>38</v>
      </c>
      <c r="O29">
        <f>ROUND(SUM(J33,J35,J37),0)</f>
        <v>5237696</v>
      </c>
      <c r="P29">
        <f>SUM(K33,K35,K37)</f>
        <v>1234315.1931707317</v>
      </c>
      <c r="Q29">
        <f>ROUND(P29/P$33*P$34,0)</f>
        <v>1089795</v>
      </c>
      <c r="R29" s="17">
        <f>Q29/Stocks!E8</f>
        <v>0.20806763126382288</v>
      </c>
      <c r="T29" t="s">
        <v>92</v>
      </c>
      <c r="U29" s="18">
        <v>0.52300000000000002</v>
      </c>
      <c r="V29">
        <f>K33+K35</f>
        <v>895059.41951219505</v>
      </c>
      <c r="W29" s="15">
        <f t="shared" si="11"/>
        <v>468116.07640487805</v>
      </c>
      <c r="Y29" t="s">
        <v>38</v>
      </c>
      <c r="Z29">
        <f>W29+W31</f>
        <v>711701.72189170728</v>
      </c>
      <c r="AA29">
        <f>ROUND(Z29/Z$33*Z$34,0)</f>
        <v>479301</v>
      </c>
      <c r="AB29" s="17"/>
      <c r="AC29" s="11">
        <f>AA29/Q29</f>
        <v>0.43980840433292501</v>
      </c>
    </row>
    <row r="30" spans="7:29" x14ac:dyDescent="0.2">
      <c r="G30" t="s">
        <v>62</v>
      </c>
      <c r="H30" s="18">
        <v>0.27500000000000002</v>
      </c>
      <c r="I30">
        <f>H59</f>
        <v>2730307</v>
      </c>
      <c r="J30">
        <f t="shared" si="10"/>
        <v>2663714.1463414636</v>
      </c>
      <c r="K30">
        <f>H30*J30</f>
        <v>732521.39024390257</v>
      </c>
      <c r="N30" t="s">
        <v>39</v>
      </c>
      <c r="O30">
        <f>ROUND(SUM(J34,J36,J38),0)</f>
        <v>5223467</v>
      </c>
      <c r="P30">
        <f>SUM(K34,K36,K38)</f>
        <v>1867377.2751219515</v>
      </c>
      <c r="Q30">
        <f>ROUND(P30/P$33*P$34,0)</f>
        <v>1648736</v>
      </c>
      <c r="R30" s="17">
        <f>Q30/Stocks!E9</f>
        <v>0.31564016772767972</v>
      </c>
      <c r="T30" t="s">
        <v>93</v>
      </c>
      <c r="U30" s="18">
        <v>0.69299999999999995</v>
      </c>
      <c r="V30">
        <f>K34+K36</f>
        <v>1426858.4341463416</v>
      </c>
      <c r="W30" s="15">
        <f t="shared" si="11"/>
        <v>988812.89486341469</v>
      </c>
      <c r="Y30" t="s">
        <v>39</v>
      </c>
      <c r="Z30">
        <f>W30+W32</f>
        <v>1317439.9502312196</v>
      </c>
      <c r="AA30">
        <f>ROUND(Z30/Z$33*Z$34,0)</f>
        <v>887241</v>
      </c>
      <c r="AB30" s="17"/>
      <c r="AC30" s="11">
        <f>AA30/Q30</f>
        <v>0.53813406148710285</v>
      </c>
    </row>
    <row r="31" spans="7:29" x14ac:dyDescent="0.2">
      <c r="G31" t="s">
        <v>63</v>
      </c>
      <c r="H31" s="18">
        <v>0.184</v>
      </c>
      <c r="I31">
        <f>H58</f>
        <v>2709109</v>
      </c>
      <c r="J31">
        <f t="shared" si="10"/>
        <v>2643033.1707317075</v>
      </c>
      <c r="K31">
        <f>H31*J31</f>
        <v>486318.10341463418</v>
      </c>
      <c r="N31" t="s">
        <v>40</v>
      </c>
      <c r="O31">
        <f>ROUND(SUM(J39,J41,J43),0)</f>
        <v>3862660</v>
      </c>
      <c r="P31">
        <f>SUM(K39,K41,K43)</f>
        <v>502947.69951219519</v>
      </c>
      <c r="Q31">
        <f>ROUND(P31/P$33*P$34,0)</f>
        <v>444060</v>
      </c>
      <c r="R31" s="17">
        <f>Q31/Stocks!E10</f>
        <v>0.11496222810187798</v>
      </c>
      <c r="T31" t="s">
        <v>69</v>
      </c>
      <c r="U31" s="18">
        <v>0.71799999999999997</v>
      </c>
      <c r="V31">
        <f>K37</f>
        <v>339255.77365853661</v>
      </c>
      <c r="W31" s="15">
        <f t="shared" si="11"/>
        <v>243585.64548682928</v>
      </c>
      <c r="Y31" t="s">
        <v>40</v>
      </c>
      <c r="Z31">
        <f>W33</f>
        <v>384252.04242731712</v>
      </c>
      <c r="AA31">
        <f>ROUND(Z31/Z$33*Z$34,0)</f>
        <v>258778</v>
      </c>
      <c r="AB31" s="17"/>
      <c r="AC31" s="11">
        <f>AA31/Q31</f>
        <v>0.58275458271404768</v>
      </c>
    </row>
    <row r="32" spans="7:29" x14ac:dyDescent="0.2">
      <c r="G32" t="s">
        <v>64</v>
      </c>
      <c r="H32" s="18">
        <v>0.34699999999999998</v>
      </c>
      <c r="I32">
        <f>H60</f>
        <v>2636133</v>
      </c>
      <c r="J32">
        <f t="shared" si="10"/>
        <v>2571837.0731707318</v>
      </c>
      <c r="K32">
        <f>H32*J32</f>
        <v>892427.46439024387</v>
      </c>
      <c r="N32" t="s">
        <v>41</v>
      </c>
      <c r="O32">
        <f>ROUND(SUM(J40,J42,J44),0)</f>
        <v>5282952</v>
      </c>
      <c r="P32">
        <f>SUM(K40,K42,K44)</f>
        <v>912542.34048780485</v>
      </c>
      <c r="Q32">
        <f>ROUND(P32/P$33*P$34,0)</f>
        <v>805697</v>
      </c>
      <c r="R32" s="17">
        <f>Q32/Stocks!E11</f>
        <v>0.15250886246931639</v>
      </c>
      <c r="T32" t="s">
        <v>70</v>
      </c>
      <c r="U32" s="18">
        <v>0.746</v>
      </c>
      <c r="V32">
        <f>K38</f>
        <v>440518.84097560978</v>
      </c>
      <c r="W32" s="15">
        <f t="shared" si="11"/>
        <v>328627.05536780489</v>
      </c>
      <c r="Y32" t="s">
        <v>41</v>
      </c>
      <c r="Z32">
        <f>W34</f>
        <v>649730.14642731706</v>
      </c>
      <c r="AA32">
        <f>ROUND(Z32/Z$33*Z$34,0)</f>
        <v>437566</v>
      </c>
      <c r="AB32" s="17"/>
      <c r="AC32" s="11">
        <f>AA32/Q32</f>
        <v>0.54309002019369568</v>
      </c>
    </row>
    <row r="33" spans="7:27" x14ac:dyDescent="0.2">
      <c r="G33" t="s">
        <v>65</v>
      </c>
      <c r="H33" s="18">
        <v>0.23699999999999999</v>
      </c>
      <c r="I33">
        <f>H61</f>
        <v>2226629</v>
      </c>
      <c r="J33">
        <f t="shared" si="10"/>
        <v>2172320.9756097561</v>
      </c>
      <c r="K33">
        <f>H33*J33</f>
        <v>514840.07121951215</v>
      </c>
      <c r="N33" t="s">
        <v>51</v>
      </c>
      <c r="O33" s="8">
        <f>SUM(O23:O32)</f>
        <v>56317664</v>
      </c>
      <c r="P33" s="8">
        <f>SUM(P23:P32)</f>
        <v>8154804.6360975616</v>
      </c>
      <c r="Q33" s="8">
        <f>SUM(Q23:Q32)</f>
        <v>7199999</v>
      </c>
      <c r="T33" t="s">
        <v>40</v>
      </c>
      <c r="U33" s="18">
        <v>0.76400000000000001</v>
      </c>
      <c r="V33">
        <f>SUM(K39,K41,K43)</f>
        <v>502947.69951219519</v>
      </c>
      <c r="W33" s="15">
        <f t="shared" si="11"/>
        <v>384252.04242731712</v>
      </c>
      <c r="Y33" t="s">
        <v>51</v>
      </c>
      <c r="Z33" s="8">
        <f>SUM(Z23:Z32)</f>
        <v>5103496.8530643899</v>
      </c>
      <c r="AA33" s="8">
        <f>SUM(AA23:AA32)</f>
        <v>3436992</v>
      </c>
    </row>
    <row r="34" spans="7:27" x14ac:dyDescent="0.2">
      <c r="G34" t="s">
        <v>66</v>
      </c>
      <c r="H34" s="18">
        <v>0.39400000000000002</v>
      </c>
      <c r="I34">
        <f>H64</f>
        <v>2154507</v>
      </c>
      <c r="J34">
        <f t="shared" si="10"/>
        <v>2101958.0487804879</v>
      </c>
      <c r="K34">
        <f>H34*J34</f>
        <v>828171.47121951228</v>
      </c>
      <c r="N34" t="s">
        <v>90</v>
      </c>
      <c r="O34" s="8"/>
      <c r="P34" s="8">
        <v>7200000</v>
      </c>
      <c r="T34" t="s">
        <v>41</v>
      </c>
      <c r="U34" s="18">
        <v>0.71199999999999997</v>
      </c>
      <c r="V34">
        <f>SUM(K40,K42,K44)</f>
        <v>912542.34048780485</v>
      </c>
      <c r="W34" s="15">
        <f t="shared" si="11"/>
        <v>649730.14642731706</v>
      </c>
      <c r="Y34" t="s">
        <v>90</v>
      </c>
      <c r="Z34" s="8">
        <f>7200000*90%*68%*78%</f>
        <v>3436992</v>
      </c>
    </row>
    <row r="35" spans="7:27" x14ac:dyDescent="0.2">
      <c r="G35" t="s">
        <v>67</v>
      </c>
      <c r="H35" s="18">
        <v>0.224</v>
      </c>
      <c r="I35">
        <f>H62</f>
        <v>1739843</v>
      </c>
      <c r="J35">
        <f t="shared" si="10"/>
        <v>1697407.8048780488</v>
      </c>
      <c r="K35">
        <f>H35*J35</f>
        <v>380219.34829268296</v>
      </c>
    </row>
    <row r="36" spans="7:27" x14ac:dyDescent="0.2">
      <c r="G36" t="s">
        <v>68</v>
      </c>
      <c r="H36" s="18">
        <v>0.35899999999999999</v>
      </c>
      <c r="I36">
        <f>H65</f>
        <v>1709343</v>
      </c>
      <c r="J36">
        <f t="shared" si="10"/>
        <v>1667651.7073170734</v>
      </c>
      <c r="K36">
        <f>H36*J36</f>
        <v>598686.96292682935</v>
      </c>
    </row>
    <row r="37" spans="7:27" x14ac:dyDescent="0.2">
      <c r="G37" t="s">
        <v>69</v>
      </c>
      <c r="H37" s="18">
        <v>0.248</v>
      </c>
      <c r="I37">
        <f>H63</f>
        <v>1402166</v>
      </c>
      <c r="J37">
        <f t="shared" si="10"/>
        <v>1367966.8292682928</v>
      </c>
      <c r="K37">
        <f>H37*J37</f>
        <v>339255.77365853661</v>
      </c>
    </row>
    <row r="38" spans="7:27" x14ac:dyDescent="0.2">
      <c r="G38" t="s">
        <v>70</v>
      </c>
      <c r="H38" s="18">
        <v>0.30299999999999999</v>
      </c>
      <c r="I38">
        <f>H66</f>
        <v>1490204</v>
      </c>
      <c r="J38">
        <f t="shared" si="10"/>
        <v>1453857.5609756098</v>
      </c>
      <c r="K38">
        <f>H38*J38</f>
        <v>440518.84097560978</v>
      </c>
    </row>
    <row r="39" spans="7:27" x14ac:dyDescent="0.2">
      <c r="G39" t="s">
        <v>71</v>
      </c>
      <c r="H39" s="18">
        <v>0.20200000000000001</v>
      </c>
      <c r="I39">
        <f>H67</f>
        <v>1084700</v>
      </c>
      <c r="J39">
        <f t="shared" si="10"/>
        <v>1058243.9024390245</v>
      </c>
      <c r="K39">
        <f>H39*J39</f>
        <v>213765.26829268297</v>
      </c>
      <c r="O39" t="s">
        <v>104</v>
      </c>
      <c r="P39" t="s">
        <v>105</v>
      </c>
    </row>
    <row r="40" spans="7:27" x14ac:dyDescent="0.2">
      <c r="G40" t="s">
        <v>72</v>
      </c>
      <c r="H40" s="18">
        <v>0.222</v>
      </c>
      <c r="I40">
        <f>H70</f>
        <v>1337881</v>
      </c>
      <c r="J40">
        <f t="shared" si="10"/>
        <v>1305249.756097561</v>
      </c>
      <c r="K40">
        <f>H40*J40</f>
        <v>289765.44585365854</v>
      </c>
      <c r="N40" t="s">
        <v>32</v>
      </c>
      <c r="O40">
        <v>10090.579282843086</v>
      </c>
      <c r="P40">
        <f>ROUND(O40/O$50*O$51,0)</f>
        <v>9724</v>
      </c>
    </row>
    <row r="41" spans="7:27" x14ac:dyDescent="0.2">
      <c r="G41" t="s">
        <v>73</v>
      </c>
      <c r="H41" s="18">
        <v>0.14799999999999999</v>
      </c>
      <c r="I41">
        <f>H68</f>
        <v>919710</v>
      </c>
      <c r="J41">
        <f t="shared" si="10"/>
        <v>897278.04878048785</v>
      </c>
      <c r="K41">
        <f>H41*J41</f>
        <v>132797.15121951219</v>
      </c>
      <c r="N41" t="s">
        <v>33</v>
      </c>
      <c r="O41">
        <v>14364.814394885114</v>
      </c>
      <c r="P41">
        <f t="shared" ref="P41:P49" si="12">ROUND(O41/O$50*O$51,0)</f>
        <v>13843</v>
      </c>
    </row>
    <row r="42" spans="7:27" x14ac:dyDescent="0.2">
      <c r="G42" t="s">
        <v>74</v>
      </c>
      <c r="H42" s="18">
        <v>0.17599999999999999</v>
      </c>
      <c r="I42">
        <f>H71</f>
        <v>1142656</v>
      </c>
      <c r="J42">
        <f t="shared" si="10"/>
        <v>1114786.3414634147</v>
      </c>
      <c r="K42">
        <f>H42*J42</f>
        <v>196202.39609756097</v>
      </c>
      <c r="N42" t="s">
        <v>34</v>
      </c>
      <c r="O42">
        <v>10326.020576300254</v>
      </c>
      <c r="P42">
        <f t="shared" si="12"/>
        <v>9951</v>
      </c>
    </row>
    <row r="43" spans="7:27" x14ac:dyDescent="0.2">
      <c r="G43" t="s">
        <v>75</v>
      </c>
      <c r="H43" s="18">
        <v>8.2000000000000003E-2</v>
      </c>
      <c r="I43">
        <f>H69</f>
        <v>1954816</v>
      </c>
      <c r="J43">
        <f t="shared" si="10"/>
        <v>1907137.5609756098</v>
      </c>
      <c r="K43">
        <f>H43*J43</f>
        <v>156385.28</v>
      </c>
      <c r="N43" t="s">
        <v>35</v>
      </c>
      <c r="O43">
        <v>28525.363413535277</v>
      </c>
      <c r="P43">
        <f t="shared" si="12"/>
        <v>27490</v>
      </c>
    </row>
    <row r="44" spans="7:27" x14ac:dyDescent="0.2">
      <c r="G44" t="s">
        <v>76</v>
      </c>
      <c r="H44" s="18">
        <v>0.14899999999999999</v>
      </c>
      <c r="I44">
        <f>H72</f>
        <v>2934489</v>
      </c>
      <c r="J44">
        <f t="shared" si="10"/>
        <v>2862916.0975609757</v>
      </c>
      <c r="K44">
        <f>H44*J44</f>
        <v>426574.49853658536</v>
      </c>
      <c r="N44" t="s">
        <v>36</v>
      </c>
      <c r="O44">
        <v>46773.306428314987</v>
      </c>
      <c r="P44">
        <f t="shared" si="12"/>
        <v>45076</v>
      </c>
    </row>
    <row r="45" spans="7:27" x14ac:dyDescent="0.2">
      <c r="H45" s="18"/>
      <c r="N45" t="s">
        <v>37</v>
      </c>
      <c r="O45">
        <v>53837.082052317652</v>
      </c>
      <c r="P45">
        <f t="shared" si="12"/>
        <v>51883</v>
      </c>
    </row>
    <row r="46" spans="7:27" x14ac:dyDescent="0.2">
      <c r="H46" s="20" t="s">
        <v>78</v>
      </c>
      <c r="N46" t="s">
        <v>38</v>
      </c>
      <c r="O46">
        <v>44876.879667539899</v>
      </c>
      <c r="P46">
        <f t="shared" si="12"/>
        <v>43248</v>
      </c>
    </row>
    <row r="47" spans="7:27" x14ac:dyDescent="0.2">
      <c r="G47" t="s">
        <v>79</v>
      </c>
      <c r="H47">
        <f>2970302</f>
        <v>2970302</v>
      </c>
      <c r="N47" t="s">
        <v>39</v>
      </c>
      <c r="O47">
        <v>45327.802116037696</v>
      </c>
      <c r="P47">
        <f t="shared" si="12"/>
        <v>43683</v>
      </c>
    </row>
    <row r="48" spans="7:27" x14ac:dyDescent="0.2">
      <c r="G48" t="s">
        <v>80</v>
      </c>
      <c r="H48">
        <f>2941029</f>
        <v>2941029</v>
      </c>
      <c r="N48" t="s">
        <v>40</v>
      </c>
      <c r="O48">
        <v>13502.711302428132</v>
      </c>
      <c r="P48">
        <f t="shared" si="12"/>
        <v>13013</v>
      </c>
    </row>
    <row r="49" spans="7:16" x14ac:dyDescent="0.2">
      <c r="G49" t="s">
        <v>81</v>
      </c>
      <c r="H49">
        <f>2623611</f>
        <v>2623611</v>
      </c>
      <c r="N49" t="s">
        <v>41</v>
      </c>
      <c r="O49">
        <v>12544.10218312066</v>
      </c>
      <c r="P49">
        <f t="shared" si="12"/>
        <v>12089</v>
      </c>
    </row>
    <row r="50" spans="7:16" x14ac:dyDescent="0.2">
      <c r="G50" t="s">
        <v>82</v>
      </c>
      <c r="H50">
        <f>2958649</f>
        <v>2958649</v>
      </c>
      <c r="N50" t="s">
        <v>51</v>
      </c>
      <c r="O50" s="8">
        <f>SUM(O40:O49)</f>
        <v>280168.66141732282</v>
      </c>
      <c r="P50" s="8">
        <f>SUM(P40:P49)</f>
        <v>270000</v>
      </c>
    </row>
    <row r="51" spans="7:16" x14ac:dyDescent="0.2">
      <c r="G51" t="s">
        <v>84</v>
      </c>
      <c r="H51">
        <v>2921052</v>
      </c>
      <c r="N51" t="s">
        <v>106</v>
      </c>
      <c r="O51">
        <v>270000</v>
      </c>
    </row>
    <row r="52" spans="7:16" x14ac:dyDescent="0.2">
      <c r="G52" t="s">
        <v>83</v>
      </c>
      <c r="H52">
        <f>2628874</f>
        <v>2628874</v>
      </c>
    </row>
    <row r="53" spans="7:16" x14ac:dyDescent="0.2">
      <c r="G53" t="s">
        <v>57</v>
      </c>
      <c r="H53">
        <f>2360947</f>
        <v>2360947</v>
      </c>
    </row>
    <row r="54" spans="7:16" x14ac:dyDescent="0.2">
      <c r="G54" t="s">
        <v>59</v>
      </c>
      <c r="H54">
        <f>2490594</f>
        <v>2490594</v>
      </c>
    </row>
    <row r="55" spans="7:16" x14ac:dyDescent="0.2">
      <c r="G55" t="s">
        <v>58</v>
      </c>
      <c r="H55">
        <f>2372843</f>
        <v>2372843</v>
      </c>
    </row>
    <row r="56" spans="7:16" x14ac:dyDescent="0.2">
      <c r="G56" t="s">
        <v>85</v>
      </c>
      <c r="H56">
        <f>2528566</f>
        <v>2528566</v>
      </c>
    </row>
    <row r="57" spans="7:16" x14ac:dyDescent="0.2">
      <c r="G57" t="s">
        <v>61</v>
      </c>
      <c r="H57">
        <f>2756645</f>
        <v>2756645</v>
      </c>
    </row>
    <row r="58" spans="7:16" x14ac:dyDescent="0.2">
      <c r="G58" t="s">
        <v>63</v>
      </c>
      <c r="H58">
        <f>2709109</f>
        <v>2709109</v>
      </c>
    </row>
    <row r="59" spans="7:16" x14ac:dyDescent="0.2">
      <c r="G59" t="s">
        <v>62</v>
      </c>
      <c r="H59">
        <f>2730307</f>
        <v>2730307</v>
      </c>
    </row>
    <row r="60" spans="7:16" x14ac:dyDescent="0.2">
      <c r="G60" t="s">
        <v>64</v>
      </c>
      <c r="H60">
        <f>2636133</f>
        <v>2636133</v>
      </c>
    </row>
    <row r="61" spans="7:16" x14ac:dyDescent="0.2">
      <c r="G61" t="s">
        <v>65</v>
      </c>
      <c r="H61">
        <f>2226629</f>
        <v>2226629</v>
      </c>
    </row>
    <row r="62" spans="7:16" x14ac:dyDescent="0.2">
      <c r="G62" t="s">
        <v>67</v>
      </c>
      <c r="H62">
        <f>1739843</f>
        <v>1739843</v>
      </c>
    </row>
    <row r="63" spans="7:16" x14ac:dyDescent="0.2">
      <c r="G63" t="s">
        <v>69</v>
      </c>
      <c r="H63">
        <f>1402166</f>
        <v>1402166</v>
      </c>
    </row>
    <row r="64" spans="7:16" x14ac:dyDescent="0.2">
      <c r="G64" t="s">
        <v>66</v>
      </c>
      <c r="H64">
        <f>2154507</f>
        <v>2154507</v>
      </c>
    </row>
    <row r="65" spans="6:8" x14ac:dyDescent="0.2">
      <c r="G65" t="s">
        <v>68</v>
      </c>
      <c r="H65">
        <f>1709343</f>
        <v>1709343</v>
      </c>
    </row>
    <row r="66" spans="6:8" x14ac:dyDescent="0.2">
      <c r="G66" t="s">
        <v>70</v>
      </c>
      <c r="H66">
        <f>1490204</f>
        <v>1490204</v>
      </c>
    </row>
    <row r="67" spans="6:8" x14ac:dyDescent="0.2">
      <c r="G67" t="s">
        <v>71</v>
      </c>
      <c r="H67">
        <v>1084700</v>
      </c>
    </row>
    <row r="68" spans="6:8" x14ac:dyDescent="0.2">
      <c r="G68" t="s">
        <v>73</v>
      </c>
      <c r="H68">
        <v>919710</v>
      </c>
    </row>
    <row r="69" spans="6:8" x14ac:dyDescent="0.2">
      <c r="G69" t="s">
        <v>75</v>
      </c>
      <c r="H69">
        <f>724416+526610+338535+201946+163309</f>
        <v>1954816</v>
      </c>
    </row>
    <row r="70" spans="6:8" x14ac:dyDescent="0.2">
      <c r="G70" t="s">
        <v>72</v>
      </c>
      <c r="H70">
        <v>1337881</v>
      </c>
    </row>
    <row r="71" spans="6:8" x14ac:dyDescent="0.2">
      <c r="G71" t="s">
        <v>74</v>
      </c>
      <c r="H71">
        <v>1142656</v>
      </c>
    </row>
    <row r="72" spans="6:8" x14ac:dyDescent="0.2">
      <c r="G72" t="s">
        <v>76</v>
      </c>
      <c r="H72">
        <f>940674+727015+515429+351076+400295</f>
        <v>2934489</v>
      </c>
    </row>
    <row r="79" spans="6:8" x14ac:dyDescent="0.2">
      <c r="F79" t="s">
        <v>97</v>
      </c>
    </row>
    <row r="80" spans="6:8" x14ac:dyDescent="0.2">
      <c r="F80" t="s">
        <v>98</v>
      </c>
    </row>
    <row r="81" spans="6:6" x14ac:dyDescent="0.2">
      <c r="F81" t="s">
        <v>99</v>
      </c>
    </row>
    <row r="82" spans="6:6" x14ac:dyDescent="0.2">
      <c r="F82" t="s">
        <v>100</v>
      </c>
    </row>
    <row r="83" spans="6:6" x14ac:dyDescent="0.2">
      <c r="F83" t="s">
        <v>56</v>
      </c>
    </row>
    <row r="84" spans="6:6" x14ac:dyDescent="0.2">
      <c r="F84" t="s">
        <v>101</v>
      </c>
    </row>
    <row r="85" spans="6:6" x14ac:dyDescent="0.2">
      <c r="F85" t="s">
        <v>102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4641-E00A-2C4A-81DC-364B65AEB612}">
  <dimension ref="B4:H15"/>
  <sheetViews>
    <sheetView workbookViewId="0">
      <selection activeCell="B4" sqref="B4"/>
    </sheetView>
  </sheetViews>
  <sheetFormatPr baseColWidth="10" defaultRowHeight="15" x14ac:dyDescent="0.2"/>
  <cols>
    <col min="2" max="2" width="12" bestFit="1" customWidth="1"/>
    <col min="3" max="3" width="13.6640625" bestFit="1" customWidth="1"/>
    <col min="4" max="6" width="12.83203125" bestFit="1" customWidth="1"/>
    <col min="7" max="8" width="12.6640625" bestFit="1" customWidth="1"/>
  </cols>
  <sheetData>
    <row r="4" spans="2:8" ht="32" x14ac:dyDescent="0.2">
      <c r="C4" s="14" t="s">
        <v>2</v>
      </c>
      <c r="D4" s="14" t="s">
        <v>7</v>
      </c>
      <c r="E4" s="14" t="s">
        <v>8</v>
      </c>
      <c r="F4" s="14" t="s">
        <v>11</v>
      </c>
      <c r="G4" s="14" t="s">
        <v>12</v>
      </c>
      <c r="H4" s="14" t="s">
        <v>13</v>
      </c>
    </row>
    <row r="5" spans="2:8" x14ac:dyDescent="0.2">
      <c r="B5" s="13" t="str">
        <f>'Population Definitions'!A2</f>
        <v>Males 0-14</v>
      </c>
      <c r="C5" s="15" t="e">
        <f>Stocks!#REF!</f>
        <v>#REF!</v>
      </c>
      <c r="D5" s="15" t="e">
        <f>Stocks!#REF!</f>
        <v>#REF!</v>
      </c>
      <c r="E5" s="15" t="e">
        <f>Stocks!#REF!</f>
        <v>#REF!</v>
      </c>
      <c r="F5" s="15" t="e">
        <f>Stocks!#REF!</f>
        <v>#REF!</v>
      </c>
      <c r="G5" s="15" t="e">
        <f>Stocks!#REF!</f>
        <v>#REF!</v>
      </c>
      <c r="H5" s="15" t="e">
        <f>Stocks!#REF!</f>
        <v>#REF!</v>
      </c>
    </row>
    <row r="6" spans="2:8" x14ac:dyDescent="0.2">
      <c r="B6" s="13" t="str">
        <f>'Population Definitions'!A3</f>
        <v>Females 0-14</v>
      </c>
      <c r="C6" s="15" t="e">
        <f>Stocks!#REF!</f>
        <v>#REF!</v>
      </c>
      <c r="D6" s="15" t="e">
        <f>Stocks!#REF!</f>
        <v>#REF!</v>
      </c>
      <c r="E6" s="15" t="e">
        <f>Stocks!#REF!</f>
        <v>#REF!</v>
      </c>
      <c r="F6" s="15" t="e">
        <f>Stocks!#REF!</f>
        <v>#REF!</v>
      </c>
      <c r="G6" s="15" t="e">
        <f>Stocks!#REF!</f>
        <v>#REF!</v>
      </c>
      <c r="H6" s="15" t="e">
        <f>Stocks!#REF!</f>
        <v>#REF!</v>
      </c>
    </row>
    <row r="7" spans="2:8" x14ac:dyDescent="0.2">
      <c r="B7" s="13" t="str">
        <f>'Population Definitions'!A4</f>
        <v>Males 15-24</v>
      </c>
      <c r="C7" s="15" t="e">
        <f>Stocks!#REF!</f>
        <v>#REF!</v>
      </c>
      <c r="D7" s="15" t="e">
        <f>Stocks!#REF!</f>
        <v>#REF!</v>
      </c>
      <c r="E7" s="15" t="e">
        <f>Stocks!#REF!</f>
        <v>#REF!</v>
      </c>
      <c r="F7" s="15" t="e">
        <f>Stocks!#REF!</f>
        <v>#REF!</v>
      </c>
      <c r="G7" s="15" t="e">
        <f>Stocks!#REF!</f>
        <v>#REF!</v>
      </c>
      <c r="H7" s="15" t="e">
        <f>Stocks!#REF!</f>
        <v>#REF!</v>
      </c>
    </row>
    <row r="8" spans="2:8" x14ac:dyDescent="0.2">
      <c r="B8" s="13" t="str">
        <f>'Population Definitions'!A5</f>
        <v>Females 15-24</v>
      </c>
      <c r="C8" s="15" t="e">
        <f>Stocks!#REF!</f>
        <v>#REF!</v>
      </c>
      <c r="D8" s="15" t="e">
        <f>Stocks!#REF!</f>
        <v>#REF!</v>
      </c>
      <c r="E8" s="15" t="e">
        <f>Stocks!#REF!</f>
        <v>#REF!</v>
      </c>
      <c r="F8" s="15" t="e">
        <f>Stocks!#REF!</f>
        <v>#REF!</v>
      </c>
      <c r="G8" s="15" t="e">
        <f>Stocks!#REF!</f>
        <v>#REF!</v>
      </c>
      <c r="H8" s="15" t="e">
        <f>Stocks!#REF!</f>
        <v>#REF!</v>
      </c>
    </row>
    <row r="9" spans="2:8" x14ac:dyDescent="0.2">
      <c r="B9" s="13" t="str">
        <f>'Population Definitions'!A6</f>
        <v>Males 25-34</v>
      </c>
      <c r="C9" s="15" t="e">
        <f>Stocks!#REF!</f>
        <v>#REF!</v>
      </c>
      <c r="D9" s="15" t="e">
        <f>Stocks!#REF!</f>
        <v>#REF!</v>
      </c>
      <c r="E9" s="15" t="e">
        <f>Stocks!#REF!</f>
        <v>#REF!</v>
      </c>
      <c r="F9" s="15" t="e">
        <f>Stocks!#REF!</f>
        <v>#REF!</v>
      </c>
      <c r="G9" s="15" t="e">
        <f>Stocks!#REF!</f>
        <v>#REF!</v>
      </c>
      <c r="H9" s="15" t="e">
        <f>Stocks!#REF!</f>
        <v>#REF!</v>
      </c>
    </row>
    <row r="10" spans="2:8" x14ac:dyDescent="0.2">
      <c r="B10" s="13" t="str">
        <f>'Population Definitions'!A7</f>
        <v>Females 25-34</v>
      </c>
      <c r="C10" s="15" t="e">
        <f>Stocks!#REF!</f>
        <v>#REF!</v>
      </c>
      <c r="D10" s="15" t="e">
        <f>Stocks!#REF!</f>
        <v>#REF!</v>
      </c>
      <c r="E10" s="15" t="e">
        <f>Stocks!#REF!</f>
        <v>#REF!</v>
      </c>
      <c r="F10" s="15" t="e">
        <f>Stocks!#REF!</f>
        <v>#REF!</v>
      </c>
      <c r="G10" s="15" t="e">
        <f>Stocks!#REF!</f>
        <v>#REF!</v>
      </c>
      <c r="H10" s="15" t="e">
        <f>Stocks!#REF!</f>
        <v>#REF!</v>
      </c>
    </row>
    <row r="11" spans="2:8" x14ac:dyDescent="0.2">
      <c r="B11" s="13" t="str">
        <f>'Population Definitions'!A8</f>
        <v>Males 35-49</v>
      </c>
      <c r="C11" s="15" t="e">
        <f>Stocks!#REF!</f>
        <v>#REF!</v>
      </c>
      <c r="D11" s="15" t="e">
        <f>Stocks!#REF!</f>
        <v>#REF!</v>
      </c>
      <c r="E11" s="15" t="e">
        <f>Stocks!#REF!</f>
        <v>#REF!</v>
      </c>
      <c r="F11" s="15" t="e">
        <f>Stocks!#REF!</f>
        <v>#REF!</v>
      </c>
      <c r="G11" s="15" t="e">
        <f>Stocks!#REF!</f>
        <v>#REF!</v>
      </c>
      <c r="H11" s="15" t="e">
        <f>Stocks!#REF!</f>
        <v>#REF!</v>
      </c>
    </row>
    <row r="12" spans="2:8" x14ac:dyDescent="0.2">
      <c r="B12" s="13" t="str">
        <f>'Population Definitions'!A9</f>
        <v>Females 35-49</v>
      </c>
      <c r="C12" s="15" t="e">
        <f>Stocks!#REF!</f>
        <v>#REF!</v>
      </c>
      <c r="D12" s="15" t="e">
        <f>Stocks!#REF!</f>
        <v>#REF!</v>
      </c>
      <c r="E12" s="15" t="e">
        <f>Stocks!#REF!</f>
        <v>#REF!</v>
      </c>
      <c r="F12" s="15" t="e">
        <f>Stocks!#REF!</f>
        <v>#REF!</v>
      </c>
      <c r="G12" s="15" t="e">
        <f>Stocks!#REF!</f>
        <v>#REF!</v>
      </c>
      <c r="H12" s="15" t="e">
        <f>Stocks!#REF!</f>
        <v>#REF!</v>
      </c>
    </row>
    <row r="13" spans="2:8" x14ac:dyDescent="0.2">
      <c r="B13" s="13" t="str">
        <f>'Population Definitions'!A10</f>
        <v>Males 50+</v>
      </c>
      <c r="C13" s="15" t="e">
        <f>Stocks!#REF!</f>
        <v>#REF!</v>
      </c>
      <c r="D13" s="15" t="e">
        <f>Stocks!#REF!</f>
        <v>#REF!</v>
      </c>
      <c r="E13" s="15" t="e">
        <f>Stocks!#REF!</f>
        <v>#REF!</v>
      </c>
      <c r="F13" s="15" t="e">
        <f>Stocks!#REF!</f>
        <v>#REF!</v>
      </c>
      <c r="G13" s="15" t="e">
        <f>Stocks!#REF!</f>
        <v>#REF!</v>
      </c>
      <c r="H13" s="15" t="e">
        <f>Stocks!#REF!</f>
        <v>#REF!</v>
      </c>
    </row>
    <row r="14" spans="2:8" x14ac:dyDescent="0.2">
      <c r="B14" s="13" t="str">
        <f>'Population Definitions'!A11</f>
        <v>Females 50+</v>
      </c>
      <c r="C14" s="15" t="e">
        <f>Stocks!#REF!</f>
        <v>#REF!</v>
      </c>
      <c r="D14" s="15" t="e">
        <f>Stocks!#REF!</f>
        <v>#REF!</v>
      </c>
      <c r="E14" s="15" t="e">
        <f>Stocks!#REF!</f>
        <v>#REF!</v>
      </c>
      <c r="F14" s="15" t="e">
        <f>Stocks!#REF!</f>
        <v>#REF!</v>
      </c>
      <c r="G14" s="15" t="e">
        <f>Stocks!#REF!</f>
        <v>#REF!</v>
      </c>
      <c r="H14" s="15" t="e">
        <f>Stocks!#REF!</f>
        <v>#REF!</v>
      </c>
    </row>
    <row r="15" spans="2:8" x14ac:dyDescent="0.2">
      <c r="B15" s="8" t="s">
        <v>51</v>
      </c>
      <c r="C15" s="16" t="e">
        <f t="shared" ref="C15:H15" si="0">SUM(C5:C14)</f>
        <v>#REF!</v>
      </c>
      <c r="D15" s="16" t="e">
        <f t="shared" si="0"/>
        <v>#REF!</v>
      </c>
      <c r="E15" s="16" t="e">
        <f t="shared" si="0"/>
        <v>#REF!</v>
      </c>
      <c r="F15" s="16" t="e">
        <f t="shared" si="0"/>
        <v>#REF!</v>
      </c>
      <c r="G15" s="16" t="e">
        <f t="shared" si="0"/>
        <v>#REF!</v>
      </c>
      <c r="H15" s="16" t="e">
        <f t="shared" si="0"/>
        <v>#REF!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 Definitions</vt:lpstr>
      <vt:lpstr>Stocks</vt:lpstr>
      <vt:lpstr>Flows</vt:lpstr>
      <vt:lpstr>#ignore - Misc calcs</vt:lpstr>
      <vt:lpstr>#ignore - 2016 cascade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2018-11-30T16:04:52Z</dcterms:created>
  <dcterms:modified xsi:type="dcterms:W3CDTF">2019-01-11T07:54:09Z</dcterms:modified>
  <cp:category>atomica:databook</cp:category>
</cp:coreProperties>
</file>