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3750C2D2-CEE5-1041-920A-6B4F073C3AB9}" xr6:coauthVersionLast="36" xr6:coauthVersionMax="36" xr10:uidLastSave="{00000000-0000-0000-0000-000000000000}"/>
  <bookViews>
    <workbookView xWindow="240" yWindow="460" windowWidth="25340" windowHeight="16540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81029" concurrentCalc="0"/>
</workbook>
</file>

<file path=xl/calcChain.xml><?xml version="1.0" encoding="utf-8"?>
<calcChain xmlns="http://schemas.openxmlformats.org/spreadsheetml/2006/main">
  <c r="B17" i="4" l="1"/>
  <c r="B16" i="4"/>
  <c r="B15" i="4"/>
  <c r="H34" i="2"/>
  <c r="H6" i="2"/>
  <c r="B9" i="4"/>
  <c r="G2" i="3"/>
  <c r="H13" i="2"/>
  <c r="B10" i="4"/>
  <c r="B13" i="4"/>
  <c r="H2" i="3"/>
  <c r="H20" i="2"/>
  <c r="B11" i="4"/>
  <c r="I2" i="3"/>
  <c r="B18" i="4"/>
  <c r="B20" i="4"/>
  <c r="J8" i="5"/>
  <c r="J5" i="5"/>
  <c r="J9" i="5"/>
  <c r="J10" i="5"/>
  <c r="H62" i="2"/>
  <c r="H58" i="2"/>
  <c r="E58" i="5"/>
  <c r="D58" i="5"/>
  <c r="H55" i="2"/>
  <c r="H51" i="2"/>
  <c r="E57" i="5"/>
  <c r="D57" i="5"/>
  <c r="I21" i="6"/>
  <c r="O21" i="6"/>
  <c r="I22" i="6"/>
  <c r="O22" i="6"/>
  <c r="O20" i="6"/>
  <c r="I26" i="6"/>
  <c r="O26" i="6"/>
  <c r="I27" i="6"/>
  <c r="O27" i="6"/>
  <c r="I28" i="6"/>
  <c r="O28" i="6"/>
  <c r="I29" i="6"/>
  <c r="O29" i="6"/>
  <c r="I30" i="6"/>
  <c r="O30" i="6"/>
  <c r="I31" i="6"/>
  <c r="O31" i="6"/>
  <c r="O39" i="6"/>
  <c r="C55" i="5"/>
  <c r="E55" i="5"/>
  <c r="I7" i="6"/>
  <c r="O7" i="6"/>
  <c r="I8" i="6"/>
  <c r="O8" i="6"/>
  <c r="O6" i="6"/>
  <c r="I12" i="6"/>
  <c r="O12" i="6"/>
  <c r="I13" i="6"/>
  <c r="O13" i="6"/>
  <c r="I15" i="6"/>
  <c r="O15" i="6"/>
  <c r="I16" i="6"/>
  <c r="O16" i="6"/>
  <c r="I17" i="6"/>
  <c r="O17" i="6"/>
  <c r="O37" i="6"/>
  <c r="C54" i="5"/>
  <c r="E54" i="5"/>
  <c r="D53" i="5"/>
  <c r="K21" i="6"/>
  <c r="K22" i="6"/>
  <c r="K20" i="6"/>
  <c r="K26" i="6"/>
  <c r="K27" i="6"/>
  <c r="K28" i="6"/>
  <c r="K29" i="6"/>
  <c r="K30" i="6"/>
  <c r="K31" i="6"/>
  <c r="K39" i="6"/>
  <c r="C53" i="5"/>
  <c r="E53" i="5"/>
  <c r="D52" i="5"/>
  <c r="K7" i="6"/>
  <c r="K8" i="6"/>
  <c r="K6" i="6"/>
  <c r="K12" i="6"/>
  <c r="K13" i="6"/>
  <c r="K15" i="6"/>
  <c r="K16" i="6"/>
  <c r="K17" i="6"/>
  <c r="K37" i="6"/>
  <c r="C52" i="5"/>
  <c r="D51" i="5"/>
  <c r="J21" i="6"/>
  <c r="J22" i="6"/>
  <c r="J20" i="6"/>
  <c r="J26" i="6"/>
  <c r="J27" i="6"/>
  <c r="J28" i="6"/>
  <c r="J29" i="6"/>
  <c r="J30" i="6"/>
  <c r="J31" i="6"/>
  <c r="J39" i="6"/>
  <c r="C51" i="5"/>
  <c r="E51" i="5"/>
  <c r="D50" i="5"/>
  <c r="D49" i="5"/>
  <c r="D46" i="5"/>
  <c r="J7" i="6"/>
  <c r="J8" i="6"/>
  <c r="J6" i="6"/>
  <c r="J12" i="6"/>
  <c r="J13" i="6"/>
  <c r="J15" i="6"/>
  <c r="J16" i="6"/>
  <c r="J17" i="6"/>
  <c r="J37" i="6"/>
  <c r="C50" i="5"/>
  <c r="E48" i="5"/>
  <c r="D47" i="5"/>
  <c r="E47" i="5"/>
  <c r="H48" i="2"/>
  <c r="D45" i="5"/>
  <c r="E45" i="5"/>
  <c r="H41" i="2"/>
  <c r="D44" i="5"/>
  <c r="E44" i="5"/>
  <c r="D43" i="5"/>
  <c r="E43" i="5"/>
  <c r="H27" i="2"/>
  <c r="H23" i="2"/>
  <c r="E41" i="5"/>
  <c r="C41" i="5"/>
  <c r="H16" i="2"/>
  <c r="E39" i="5"/>
  <c r="C39" i="5"/>
  <c r="H9" i="2"/>
  <c r="E38" i="5"/>
  <c r="C38" i="5"/>
  <c r="H2" i="2"/>
  <c r="E37" i="5"/>
  <c r="C37" i="5"/>
  <c r="C8" i="5"/>
  <c r="C6" i="5"/>
  <c r="C5" i="5"/>
  <c r="C4" i="5"/>
  <c r="E28" i="5"/>
  <c r="E27" i="5"/>
  <c r="C25" i="5"/>
  <c r="C24" i="5"/>
  <c r="C23" i="5"/>
  <c r="C22" i="5"/>
  <c r="C21" i="5"/>
  <c r="C20" i="5"/>
  <c r="D13" i="5"/>
  <c r="D12" i="5"/>
  <c r="E8" i="5"/>
  <c r="E6" i="5"/>
  <c r="E5" i="5"/>
  <c r="E4" i="5"/>
  <c r="D38" i="5"/>
  <c r="D42" i="5"/>
  <c r="D37" i="5"/>
  <c r="E40" i="5"/>
  <c r="E36" i="5"/>
  <c r="D39" i="5"/>
  <c r="D41" i="5"/>
  <c r="D40" i="5"/>
  <c r="E50" i="5"/>
  <c r="E52" i="5"/>
  <c r="E42" i="5"/>
  <c r="E56" i="5"/>
  <c r="E49" i="5"/>
  <c r="D36" i="5"/>
  <c r="E46" i="5"/>
  <c r="E60" i="5"/>
  <c r="E61" i="5"/>
  <c r="E59" i="5"/>
  <c r="E62" i="5"/>
  <c r="H31" i="2"/>
  <c r="D15" i="5"/>
  <c r="D23" i="5"/>
  <c r="D17" i="5"/>
  <c r="D22" i="5"/>
  <c r="D21" i="5"/>
  <c r="D20" i="5"/>
  <c r="H23" i="5"/>
  <c r="H22" i="5"/>
  <c r="H21" i="5"/>
  <c r="H24" i="5"/>
  <c r="L21" i="5"/>
  <c r="F3" i="4"/>
  <c r="B1" i="4"/>
  <c r="F1" i="4"/>
  <c r="J21" i="5"/>
  <c r="J23" i="5"/>
  <c r="J22" i="5"/>
  <c r="E13" i="5"/>
  <c r="E12" i="5"/>
  <c r="D11" i="5"/>
  <c r="E11" i="5"/>
  <c r="D10" i="5"/>
  <c r="E10" i="5"/>
  <c r="E7" i="5"/>
  <c r="K4" i="6"/>
  <c r="O4" i="6"/>
  <c r="I10" i="6"/>
  <c r="O10" i="6"/>
  <c r="I11" i="6"/>
  <c r="O11" i="6"/>
  <c r="I14" i="6"/>
  <c r="J14" i="6"/>
  <c r="J18" i="6"/>
  <c r="K18" i="6"/>
  <c r="O18" i="6"/>
  <c r="I24" i="6"/>
  <c r="O24" i="6"/>
  <c r="J24" i="6"/>
  <c r="K24" i="6"/>
  <c r="I25" i="6"/>
  <c r="O25" i="6"/>
  <c r="J33" i="6"/>
  <c r="K33" i="6"/>
  <c r="O33" i="6"/>
  <c r="E17" i="5"/>
  <c r="E15" i="5"/>
  <c r="E18" i="5"/>
  <c r="E16" i="5"/>
  <c r="B8" i="4"/>
  <c r="E9" i="5"/>
  <c r="D8" i="5"/>
  <c r="K10" i="6"/>
  <c r="K11" i="6"/>
  <c r="J10" i="6"/>
  <c r="K14" i="6"/>
  <c r="J11" i="6"/>
  <c r="O9" i="6"/>
  <c r="J25" i="6"/>
  <c r="O23" i="6"/>
  <c r="O40" i="6"/>
  <c r="O14" i="6"/>
  <c r="K25" i="6"/>
  <c r="K23" i="6"/>
  <c r="J23" i="6"/>
  <c r="D19" i="5"/>
  <c r="E25" i="5"/>
  <c r="E22" i="5"/>
  <c r="J9" i="6"/>
  <c r="J38" i="6"/>
  <c r="E20" i="5"/>
  <c r="K9" i="6"/>
  <c r="K38" i="6"/>
  <c r="J40" i="6"/>
  <c r="K40" i="6"/>
  <c r="E21" i="5"/>
  <c r="O38" i="6"/>
  <c r="E23" i="5"/>
  <c r="E24" i="5"/>
  <c r="E19" i="5"/>
  <c r="E14" i="5"/>
  <c r="K13" i="3"/>
  <c r="K10" i="3"/>
  <c r="K7" i="3"/>
  <c r="K4" i="3"/>
  <c r="K1" i="3"/>
  <c r="H30" i="2"/>
  <c r="D28" i="5"/>
  <c r="H45" i="2"/>
  <c r="H44" i="2"/>
  <c r="H38" i="2"/>
  <c r="H37" i="2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D27" i="5"/>
  <c r="E26" i="5"/>
  <c r="E3" i="5"/>
  <c r="D6" i="5"/>
  <c r="D4" i="5"/>
  <c r="D5" i="5"/>
  <c r="E30" i="5"/>
  <c r="E31" i="5"/>
  <c r="E29" i="5"/>
  <c r="E32" i="5"/>
  <c r="F29" i="5"/>
  <c r="F39" i="5"/>
  <c r="F47" i="5"/>
  <c r="F41" i="5"/>
  <c r="F40" i="5"/>
  <c r="F48" i="5"/>
  <c r="F55" i="5"/>
  <c r="F54" i="5"/>
  <c r="F51" i="5"/>
  <c r="F53" i="5"/>
  <c r="F44" i="5"/>
  <c r="F58" i="5"/>
  <c r="F57" i="5"/>
  <c r="F38" i="5"/>
  <c r="F45" i="5"/>
  <c r="F37" i="5"/>
  <c r="F43" i="5"/>
  <c r="F50" i="5"/>
  <c r="F52" i="5"/>
  <c r="F56" i="5"/>
  <c r="F49" i="5"/>
  <c r="F46" i="5"/>
  <c r="F60" i="5"/>
  <c r="F61" i="5"/>
  <c r="F59" i="5"/>
  <c r="F26" i="5"/>
  <c r="F14" i="5"/>
  <c r="F16" i="5"/>
  <c r="F28" i="5"/>
  <c r="F13" i="5"/>
  <c r="F27" i="5"/>
  <c r="F18" i="5"/>
  <c r="F22" i="5"/>
  <c r="F17" i="5"/>
  <c r="F12" i="5"/>
  <c r="F6" i="5"/>
  <c r="F11" i="5"/>
  <c r="F21" i="5"/>
  <c r="F25" i="5"/>
  <c r="F10" i="5"/>
  <c r="F19" i="5"/>
  <c r="F24" i="5"/>
  <c r="F8" i="5"/>
  <c r="F7" i="5"/>
  <c r="F23" i="5"/>
  <c r="F20" i="5"/>
  <c r="F4" i="5"/>
  <c r="F15" i="5"/>
  <c r="F5" i="5"/>
  <c r="F31" i="5"/>
  <c r="F30" i="5"/>
  <c r="F42" i="5"/>
  <c r="F36" i="5"/>
  <c r="F3" i="5"/>
  <c r="F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<sst xmlns="http://schemas.openxmlformats.org/spreadsheetml/2006/main" count="512" uniqueCount="153">
  <si>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</si>
  <si>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</si>
  <si>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</si>
  <si>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</si>
  <si>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</si>
  <si>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</si>
  <si>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</si>
  <si>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</si>
  <si>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</si>
  <si>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</si>
  <si>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</si>
  <si>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</si>
  <si>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</si>
  <si>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</si>
  <si>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</si>
  <si>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</si>
  <si>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</si>
  <si>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</si>
  <si>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</si>
  <si>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</si>
  <si>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</si>
  <si>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</si>
  <si>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</si>
  <si>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</si>
  <si>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</si>
  <si>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</si>
  <si>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</si>
  <si>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</si>
  <si>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</si>
  <si>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</si>
  <si>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</si>
  <si>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</si>
  <si>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</si>
  <si>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</si>
  <si>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</si>
  <si>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</si>
  <si>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</si>
  <si>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</si>
  <si>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</si>
  <si>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</si>
  <si>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</si>
  <si>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</si>
  <si>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</si>
  <si>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</si>
  <si>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</si>
  <si>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</si>
  <si>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</si>
  <si>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</si>
  <si>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</si>
  <si>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</si>
  <si>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</si>
  <si>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</si>
  <si>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</si>
  <si>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</si>
  <si>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</si>
  <si>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</si>
  <si>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</si>
  <si>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</si>
  <si>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</si>
  <si>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</si>
  <si>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</si>
  <si>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</si>
  <si>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</si>
  <si>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</si>
  <si>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</si>
  <si>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</si>
  <si>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</si>
  <si>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</si>
  <si>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</si>
  <si>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</si>
  <si>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</si>
  <si>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</si>
  <si>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</si>
  <si>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</si>
  <si>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</si>
  <si>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</si>
  <si>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</si>
  <si>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</si>
  <si>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</si>
  <si>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</si>
  <si>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</si>
  <si>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</si>
  <si>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</si>
  <si>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</si>
  <si>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</si>
  <si>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</si>
  <si>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</si>
  <si>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</si>
  <si>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</si>
  <si>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</si>
  <si>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</si>
  <si>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</si>
  <si>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</si>
  <si>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</si>
  <si>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</si>
  <si>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</si>
  <si>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</si>
  <si>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</si>
  <si>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</si>
  <si>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</si>
  <si>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</si>
  <si>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</si>
  <si>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</si>
  <si>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</si>
  <si>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</si>
  <si>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</si>
  <si>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</si>
  <si>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</si>
  <si>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</si>
  <si>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</si>
  <si>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</si>
  <si>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</si>
  <si>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</si>
  <si>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</si>
  <si>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</si>
  <si>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</si>
  <si>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</si>
  <si>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</si>
  <si>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</si>
  <si>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</si>
  <si>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</si>
  <si>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</si>
  <si>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</si>
  <si>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</si>
  <si>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</si>
  <si>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</si>
  <si>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</si>
  <si>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</si>
  <si>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Provision of glucometer strips (oral treatment)</t>
  </si>
  <si>
    <t>Provision of glucometer strips (insulin)</t>
  </si>
  <si>
    <t>Clinical exam at diagnosis</t>
  </si>
  <si>
    <t>Annual patient monitoring costs</t>
  </si>
  <si>
    <t>TOTAL</t>
  </si>
  <si>
    <t>Screening</t>
  </si>
  <si>
    <t>Diagnosis</t>
  </si>
  <si>
    <t>Maintenance</t>
  </si>
  <si>
    <t>Adherence</t>
  </si>
  <si>
    <t>non-pharma</t>
  </si>
  <si>
    <t>insulin</t>
  </si>
  <si>
    <t>oral</t>
  </si>
  <si>
    <t>SPEC</t>
  </si>
  <si>
    <t>Monitoring, evaluation, and other costs</t>
  </si>
  <si>
    <t>Monitoring and evaluation</t>
  </si>
  <si>
    <t>Other</t>
  </si>
  <si>
    <t>Estimated total population (Poltava) in 2015</t>
  </si>
  <si>
    <t>Share of total pop in Poltava in 2015</t>
  </si>
  <si>
    <t>Estimated total population (Ukraine) in 2015</t>
  </si>
  <si>
    <t>Total Ukraine spend (USD)</t>
  </si>
  <si>
    <t>USD-UAH exchange rate</t>
  </si>
  <si>
    <t>Total Ukraine spend (UAH)</t>
  </si>
  <si>
    <t>Total desired Poltava spend (UAH)</t>
  </si>
  <si>
    <t>Total desired Poltava spend (USD)</t>
  </si>
  <si>
    <t>Number screened positive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</si>
</sst>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  <numFmt numFmtId="168" formatCode="0.00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9" fontId="0" fillId="0" borderId="0" xfId="2" applyFont="1"/>
    <xf numFmtId="0" fontId="1" fillId="0" borderId="0" xfId="0" applyFont="1"/>
    <xf numFmtId="168" fontId="0" fillId="0" borderId="0" xfId="2" applyNumberFormat="1" applyFont="1"/>
    <xf numFmtId="0" fontId="19" fillId="0" borderId="0" xfId="0" applyFont="1" applyAlignment="1">
      <alignment horizontal="left" indent="2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0" fillId="4" borderId="0" xfId="0" applyFill="1"/>
    <xf numFmtId="165" fontId="0" fillId="4" borderId="0" xfId="1" applyNumberFormat="1" applyFont="1" applyFill="1"/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B25" sqref="B25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zoomScale="125" workbookViewId="0">
      <selection activeCell="H6" sqref="H6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30424</v>
      </c>
      <c r="I6" s="6"/>
    </row>
    <row r="8" spans="1:9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11409</v>
      </c>
      <c r="I13" s="6"/>
    </row>
    <row r="15" spans="1:9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3803</v>
      </c>
      <c r="I20" s="6"/>
    </row>
    <row r="22" spans="1:9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9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50728.399999999994</v>
      </c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</f>
        <v>327.27999999999997</v>
      </c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calcs'!$B$4*5%,0)</f>
        <v>155</v>
      </c>
      <c r="I34" s="6"/>
    </row>
    <row r="36" spans="1:9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351439.19999999995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478.79999999999995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calcs'!$B$4*95%*25%,0)</f>
        <v>734</v>
      </c>
      <c r="I41" s="6"/>
    </row>
    <row r="43" spans="1:9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813462.84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369.41999999999996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calcs'!$B$4*95%*75%,0)</f>
        <v>2202</v>
      </c>
      <c r="I48" s="6"/>
    </row>
    <row r="50" spans="1:9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37868.410000000003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ROUND(8%*'#ignore - misc calcs'!$B$5,0)</f>
        <v>2339</v>
      </c>
      <c r="I55" s="6"/>
    </row>
    <row r="57" spans="1:9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16988.399999999998</v>
      </c>
      <c r="I58" s="6"/>
    </row>
    <row r="59" spans="1:9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ROUND(4%*'#ignore - misc calcs'!$B$5,0)</f>
        <v>1170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>
      <selection activeCell="I2" sqref="I2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calcs'!$B$12</f>
        <v>6.85</v>
      </c>
      <c r="H2" s="17">
        <f>'#ignore - misc calcs'!$B$13</f>
        <v>6.85</v>
      </c>
      <c r="I2" s="17">
        <f>'#ignore - misc calcs'!$B$14</f>
        <v>8</v>
      </c>
      <c r="J2" s="9"/>
      <c r="K2" s="9"/>
      <c r="L2" s="9"/>
      <c r="M2" s="9"/>
      <c r="N2" s="9"/>
      <c r="O2" s="9"/>
    </row>
    <row r="4" spans="1:15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0.7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0.25</v>
      </c>
      <c r="M11" s="10">
        <v>0.25</v>
      </c>
      <c r="N11" s="9"/>
      <c r="O11" s="9"/>
    </row>
    <row r="13" spans="1:15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1:M29"/>
  <sheetViews>
    <sheetView zoomScale="168" workbookViewId="0">
      <selection activeCell="C23" sqref="C23"/>
    </sheetView>
  </sheetViews>
  <sheetFormatPr baseColWidth="10" defaultRowHeight="15"/>
  <cols>
    <col min="2" max="2" width="13.5" bestFit="1" customWidth="1"/>
    <col min="3" max="3" width="15" bestFit="1" customWidth="1"/>
    <col min="6" max="6" width="12.5" bestFit="1" customWidth="1"/>
  </cols>
  <sheetData>
    <row r="1" spans="2:6">
      <c r="B1" s="13">
        <f>B2*8%</f>
        <v>3650.88</v>
      </c>
      <c r="C1" t="s">
        <v>152</v>
      </c>
      <c r="F1" s="110">
        <f>B1*92%</f>
        <v>3358.8096</v>
      </c>
    </row>
    <row r="2" spans="2:6">
      <c r="B2" s="13">
        <v>45636</v>
      </c>
      <c r="C2" t="s">
        <v>49</v>
      </c>
      <c r="F2">
        <v>3227</v>
      </c>
    </row>
    <row r="3" spans="2:6">
      <c r="B3" s="13">
        <v>3344</v>
      </c>
      <c r="C3" t="s">
        <v>50</v>
      </c>
      <c r="F3">
        <f>F2*96%</f>
        <v>3097.92</v>
      </c>
    </row>
    <row r="4" spans="2:6">
      <c r="B4" s="13">
        <v>3090</v>
      </c>
      <c r="C4" t="s">
        <v>51</v>
      </c>
    </row>
    <row r="5" spans="2:6">
      <c r="B5" s="13">
        <v>29239</v>
      </c>
      <c r="C5" t="s">
        <v>52</v>
      </c>
    </row>
    <row r="6" spans="2:6">
      <c r="B6" s="13">
        <v>1</v>
      </c>
      <c r="C6" t="s">
        <v>53</v>
      </c>
    </row>
    <row r="8" spans="2:6">
      <c r="B8" s="13">
        <f>(1247757.857-52315)</f>
        <v>1195442.8570000001</v>
      </c>
      <c r="C8" t="s">
        <v>54</v>
      </c>
    </row>
    <row r="9" spans="2:6">
      <c r="B9" s="14">
        <f>'Spending data'!H6/$B$8</f>
        <v>2.5449982675332508E-2</v>
      </c>
      <c r="C9" t="s">
        <v>55</v>
      </c>
    </row>
    <row r="10" spans="2:6">
      <c r="B10" s="14">
        <f>'Spending data'!H13/$B$8</f>
        <v>9.5437435032496905E-3</v>
      </c>
      <c r="C10" t="s">
        <v>56</v>
      </c>
    </row>
    <row r="11" spans="2:6">
      <c r="B11" s="14">
        <f>'Spending data'!H20/$B$8</f>
        <v>3.1812478344165635E-3</v>
      </c>
      <c r="C11" t="s">
        <v>57</v>
      </c>
    </row>
    <row r="12" spans="2:6">
      <c r="B12" s="125">
        <v>6.85</v>
      </c>
      <c r="C12" t="s">
        <v>65</v>
      </c>
    </row>
    <row r="13" spans="2:6">
      <c r="B13" s="125">
        <f>B12</f>
        <v>6.85</v>
      </c>
      <c r="C13" t="s">
        <v>66</v>
      </c>
    </row>
    <row r="14" spans="2:6">
      <c r="B14" s="125">
        <v>8</v>
      </c>
      <c r="C14" t="s">
        <v>67</v>
      </c>
    </row>
    <row r="15" spans="2:6">
      <c r="B15" s="15">
        <f>B9*B12</f>
        <v>0.17433238132602766</v>
      </c>
      <c r="C15" t="s">
        <v>61</v>
      </c>
    </row>
    <row r="16" spans="2:6">
      <c r="B16" s="15">
        <f>B10*B13</f>
        <v>6.5374642997260382E-2</v>
      </c>
      <c r="C16" t="s">
        <v>62</v>
      </c>
    </row>
    <row r="17" spans="2:13">
      <c r="B17" s="15">
        <f>B11*B14</f>
        <v>2.5449982675332508E-2</v>
      </c>
      <c r="C17" t="s">
        <v>63</v>
      </c>
    </row>
    <row r="18" spans="2:13">
      <c r="B18" s="16">
        <f>SUM(B15:B17)</f>
        <v>0.26515700699862055</v>
      </c>
      <c r="C18" t="s">
        <v>64</v>
      </c>
    </row>
    <row r="19" spans="2:13">
      <c r="B19" s="126">
        <v>13733</v>
      </c>
      <c r="C19" t="s">
        <v>58</v>
      </c>
    </row>
    <row r="20" spans="2:13">
      <c r="B20" s="18">
        <f>B19*B18</f>
        <v>3641.4011771120558</v>
      </c>
      <c r="C20" t="s">
        <v>59</v>
      </c>
    </row>
    <row r="21" spans="2:13">
      <c r="B21" s="13">
        <v>3650.88</v>
      </c>
      <c r="C21" t="s">
        <v>60</v>
      </c>
    </row>
    <row r="29" spans="2:13">
      <c r="M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L62"/>
  <sheetViews>
    <sheetView zoomScale="97" workbookViewId="0">
      <selection activeCell="J10" sqref="J10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2" customWidth="1"/>
    <col min="9" max="9" width="34.5" customWidth="1"/>
    <col min="10" max="10" width="22.6640625" customWidth="1"/>
  </cols>
  <sheetData>
    <row r="2" spans="1:10" ht="64">
      <c r="A2" s="112" t="s">
        <v>140</v>
      </c>
      <c r="C2" s="12" t="s">
        <v>28</v>
      </c>
      <c r="D2" s="12" t="s">
        <v>74</v>
      </c>
      <c r="E2" s="12" t="s">
        <v>73</v>
      </c>
    </row>
    <row r="3" spans="1:10">
      <c r="A3" s="98" t="s">
        <v>133</v>
      </c>
      <c r="B3" s="98"/>
      <c r="C3" s="99"/>
      <c r="D3" s="99"/>
      <c r="E3" s="100">
        <f>SUM(E4:E6)</f>
        <v>789502.80000000016</v>
      </c>
      <c r="F3" s="101">
        <f>SUM(F4:F6)</f>
        <v>1.9003691902116909E-3</v>
      </c>
      <c r="I3" t="s">
        <v>147</v>
      </c>
      <c r="J3" s="13">
        <v>460000000</v>
      </c>
    </row>
    <row r="4" spans="1:10">
      <c r="B4" t="s">
        <v>41</v>
      </c>
      <c r="C4" s="90">
        <f>'Spending data'!$H$3</f>
        <v>17.3</v>
      </c>
      <c r="D4" s="93">
        <f>E4/C4</f>
        <v>30424.000000000004</v>
      </c>
      <c r="E4" s="92">
        <f>'Spending data'!$H$2</f>
        <v>526335.20000000007</v>
      </c>
      <c r="F4" s="97">
        <f>E4/$E$32</f>
        <v>1.2669127934744606E-3</v>
      </c>
      <c r="G4" s="19"/>
      <c r="I4" t="s">
        <v>148</v>
      </c>
      <c r="J4">
        <v>28.0291</v>
      </c>
    </row>
    <row r="5" spans="1:10">
      <c r="B5" t="s">
        <v>42</v>
      </c>
      <c r="C5" s="90">
        <f>'Spending data'!$H$10</f>
        <v>17.3</v>
      </c>
      <c r="D5" s="93">
        <f>E5/C5</f>
        <v>11409</v>
      </c>
      <c r="E5" s="92">
        <f>'Spending data'!$H$9</f>
        <v>197375.7</v>
      </c>
      <c r="F5" s="97">
        <f>E5/$E$32</f>
        <v>4.7509229755292271E-4</v>
      </c>
      <c r="G5" s="19"/>
      <c r="I5" t="s">
        <v>149</v>
      </c>
      <c r="J5" s="13">
        <f>J3*J4</f>
        <v>12893386000</v>
      </c>
    </row>
    <row r="6" spans="1:10">
      <c r="B6" t="s">
        <v>43</v>
      </c>
      <c r="C6" s="90">
        <f>'Spending data'!$H$17</f>
        <v>17.3</v>
      </c>
      <c r="D6" s="93">
        <f>E6/C6</f>
        <v>3803.0000000000005</v>
      </c>
      <c r="E6" s="92">
        <f>'Spending data'!$H$16</f>
        <v>65791.900000000009</v>
      </c>
      <c r="F6" s="97">
        <f>E6/$E$32</f>
        <v>1.5836409918430758E-4</v>
      </c>
      <c r="G6" s="19"/>
      <c r="I6" t="s">
        <v>144</v>
      </c>
      <c r="J6" s="13">
        <v>1438948</v>
      </c>
    </row>
    <row r="7" spans="1:10">
      <c r="A7" s="98" t="s">
        <v>134</v>
      </c>
      <c r="B7" s="98"/>
      <c r="C7" s="102"/>
      <c r="D7" s="103"/>
      <c r="E7" s="100">
        <f>SUM(E8:E8)</f>
        <v>334400</v>
      </c>
      <c r="F7" s="101">
        <f>SUM(F8:F8)</f>
        <v>8.0491602715885159E-4</v>
      </c>
      <c r="G7" s="19"/>
      <c r="I7" t="s">
        <v>146</v>
      </c>
      <c r="J7" s="13">
        <v>44657704</v>
      </c>
    </row>
    <row r="8" spans="1:10">
      <c r="B8" t="s">
        <v>68</v>
      </c>
      <c r="C8" s="90">
        <f>'Spending data'!$H$24</f>
        <v>100</v>
      </c>
      <c r="D8" s="93">
        <f>E8/C8</f>
        <v>3344</v>
      </c>
      <c r="E8" s="92">
        <f>'Spending data'!$H$23</f>
        <v>334400</v>
      </c>
      <c r="F8" s="97">
        <f>E8/$E$32</f>
        <v>8.0491602715885159E-4</v>
      </c>
      <c r="G8" s="19"/>
      <c r="I8" t="s">
        <v>145</v>
      </c>
      <c r="J8" s="113">
        <f>J6/J7</f>
        <v>3.2221719235722465E-2</v>
      </c>
    </row>
    <row r="9" spans="1:10">
      <c r="A9" s="98" t="s">
        <v>45</v>
      </c>
      <c r="B9" s="98"/>
      <c r="C9" s="102"/>
      <c r="D9" s="103"/>
      <c r="E9" s="100">
        <f>SUM(E10:E13)</f>
        <v>2914808.5779519277</v>
      </c>
      <c r="F9" s="101">
        <f>SUM(F10:F13)</f>
        <v>7.0160769751603088E-3</v>
      </c>
      <c r="G9" s="19"/>
      <c r="I9" t="s">
        <v>150</v>
      </c>
      <c r="J9" s="110">
        <f>J8*J5</f>
        <v>415447063.68979472</v>
      </c>
    </row>
    <row r="10" spans="1:10">
      <c r="B10" t="s">
        <v>130</v>
      </c>
      <c r="C10" s="90">
        <v>327.27999999999997</v>
      </c>
      <c r="D10" s="93">
        <f>'#ignore - misc calcs'!$B$4</f>
        <v>3090</v>
      </c>
      <c r="E10" s="92">
        <f>C10*D10</f>
        <v>1011295.2</v>
      </c>
      <c r="F10" s="97">
        <f t="shared" ref="F10:F28" si="0">E10/$E$32</f>
        <v>2.434233596497656E-3</v>
      </c>
      <c r="G10" s="19"/>
      <c r="I10" t="s">
        <v>151</v>
      </c>
      <c r="J10" s="110">
        <f>J9/J4</f>
        <v>14821990.848432334</v>
      </c>
    </row>
    <row r="11" spans="1:10">
      <c r="B11" t="s">
        <v>72</v>
      </c>
      <c r="C11" s="90">
        <v>550</v>
      </c>
      <c r="D11" s="93">
        <f>'#ignore - misc calcs'!$B$4</f>
        <v>3090</v>
      </c>
      <c r="E11" s="92">
        <f>C11*D11</f>
        <v>1699500</v>
      </c>
      <c r="F11" s="97">
        <f t="shared" si="0"/>
        <v>4.0907738880277163E-3</v>
      </c>
      <c r="G11" s="19"/>
    </row>
    <row r="12" spans="1:10">
      <c r="B12" t="s">
        <v>69</v>
      </c>
      <c r="C12" s="90">
        <v>151.52227120181405</v>
      </c>
      <c r="D12" s="93">
        <f>'Spending data'!$H$41</f>
        <v>734</v>
      </c>
      <c r="E12" s="92">
        <f>C12*D12</f>
        <v>111217.34706213151</v>
      </c>
      <c r="F12" s="97">
        <f t="shared" si="0"/>
        <v>2.6770521874520953E-4</v>
      </c>
      <c r="G12" s="19"/>
    </row>
    <row r="13" spans="1:10">
      <c r="B13" t="s">
        <v>125</v>
      </c>
      <c r="C13" s="90">
        <v>42.141703401360544</v>
      </c>
      <c r="D13" s="93">
        <f>'Spending data'!$H$48</f>
        <v>2202</v>
      </c>
      <c r="E13" s="92">
        <f>C13*D13</f>
        <v>92796.030889795918</v>
      </c>
      <c r="F13" s="97">
        <f t="shared" si="0"/>
        <v>2.2336427188972667E-4</v>
      </c>
      <c r="G13" s="19"/>
    </row>
    <row r="14" spans="1:10">
      <c r="A14" s="98" t="s">
        <v>135</v>
      </c>
      <c r="B14" s="98"/>
      <c r="C14" s="102"/>
      <c r="D14" s="103"/>
      <c r="E14" s="104">
        <f>SUM(E15:E19)</f>
        <v>335868432.98575366</v>
      </c>
      <c r="F14" s="105">
        <f t="shared" si="0"/>
        <v>0.80845061222177572</v>
      </c>
      <c r="G14" s="19"/>
    </row>
    <row r="15" spans="1:10">
      <c r="B15" t="s">
        <v>126</v>
      </c>
      <c r="C15" s="90">
        <v>902.5</v>
      </c>
      <c r="D15" s="93">
        <f>27998*60/70+12046*1/3</f>
        <v>28013.619047619046</v>
      </c>
      <c r="E15" s="92">
        <f>C15*D15</f>
        <v>25282291.19047619</v>
      </c>
      <c r="F15" s="97">
        <f t="shared" si="0"/>
        <v>6.085562614387359E-2</v>
      </c>
      <c r="G15" s="19"/>
    </row>
    <row r="16" spans="1:10">
      <c r="B16" t="s">
        <v>127</v>
      </c>
      <c r="C16" s="90">
        <v>9382.44</v>
      </c>
      <c r="D16" s="93">
        <v>12046</v>
      </c>
      <c r="E16" s="92">
        <f>C16*D16</f>
        <v>113020872.24000001</v>
      </c>
      <c r="F16" s="97">
        <f t="shared" si="0"/>
        <v>0.2720463859732325</v>
      </c>
      <c r="G16" s="19"/>
    </row>
    <row r="17" spans="1:12">
      <c r="B17" t="s">
        <v>128</v>
      </c>
      <c r="C17" s="90">
        <v>1800</v>
      </c>
      <c r="D17" s="93">
        <f>27998*60/70</f>
        <v>23998.285714285714</v>
      </c>
      <c r="E17" s="92">
        <f>C17*D17</f>
        <v>43196914.285714284</v>
      </c>
      <c r="F17" s="97">
        <f t="shared" si="0"/>
        <v>0.10397693969012733</v>
      </c>
      <c r="G17" s="19"/>
    </row>
    <row r="18" spans="1:12">
      <c r="B18" t="s">
        <v>129</v>
      </c>
      <c r="C18" s="90">
        <v>8352</v>
      </c>
      <c r="D18" s="93">
        <v>12046</v>
      </c>
      <c r="E18" s="92">
        <f>C18*D18</f>
        <v>100608192</v>
      </c>
      <c r="F18" s="97">
        <f t="shared" si="0"/>
        <v>0.24216849941469784</v>
      </c>
      <c r="G18" s="19"/>
    </row>
    <row r="19" spans="1:12">
      <c r="B19" t="s">
        <v>131</v>
      </c>
      <c r="C19" s="90"/>
      <c r="D19" s="94">
        <f>SUM(D20:D25)</f>
        <v>40043</v>
      </c>
      <c r="E19" s="92">
        <f>SUM(E20:E25)</f>
        <v>53760163.269563198</v>
      </c>
      <c r="F19" s="97">
        <f t="shared" si="0"/>
        <v>0.12940316099984459</v>
      </c>
    </row>
    <row r="20" spans="1:12">
      <c r="B20" s="89" t="s">
        <v>117</v>
      </c>
      <c r="C20" s="91">
        <f>Monitoring!$J$37</f>
        <v>644.2613238095239</v>
      </c>
      <c r="D20" s="96">
        <f>8565*10/70</f>
        <v>1223.5714285714287</v>
      </c>
      <c r="E20" s="95">
        <f t="shared" ref="E20:E25" si="1">C20*D20</f>
        <v>788299.74834693898</v>
      </c>
      <c r="F20" s="97">
        <f t="shared" si="0"/>
        <v>1.8974733901008991E-3</v>
      </c>
    </row>
    <row r="21" spans="1:12">
      <c r="B21" s="89" t="s">
        <v>118</v>
      </c>
      <c r="C21" s="91">
        <f>Monitoring!$J$39</f>
        <v>744.2613238095239</v>
      </c>
      <c r="D21" s="96">
        <f>19433*10/70</f>
        <v>2776.1428571428573</v>
      </c>
      <c r="E21" s="95">
        <f t="shared" si="1"/>
        <v>2066175.757941497</v>
      </c>
      <c r="F21" s="97">
        <f t="shared" si="0"/>
        <v>4.9733791342529872E-3</v>
      </c>
      <c r="H21" s="93">
        <f>27998*10/70</f>
        <v>3999.7142857142858</v>
      </c>
      <c r="I21" t="s">
        <v>137</v>
      </c>
      <c r="J21" s="111">
        <f>H21/$H$24</f>
        <v>9.988298585841289E-2</v>
      </c>
      <c r="L21">
        <f>72%*H24</f>
        <v>28831.68</v>
      </c>
    </row>
    <row r="22" spans="1:12">
      <c r="B22" s="89" t="s">
        <v>119</v>
      </c>
      <c r="C22" s="91">
        <f>Monitoring!$K$37</f>
        <v>673.94638458049894</v>
      </c>
      <c r="D22" s="96">
        <f>8565*60/70</f>
        <v>7341.4285714285716</v>
      </c>
      <c r="E22" s="95">
        <f t="shared" si="1"/>
        <v>4947729.2433702629</v>
      </c>
      <c r="F22" s="97">
        <f t="shared" si="0"/>
        <v>1.1909409587414063E-2</v>
      </c>
      <c r="H22" s="93">
        <f>27998*60/70</f>
        <v>23998.285714285714</v>
      </c>
      <c r="I22" t="s">
        <v>139</v>
      </c>
      <c r="J22" s="111">
        <f>H22/$H$24</f>
        <v>0.59929791515047737</v>
      </c>
    </row>
    <row r="23" spans="1:12">
      <c r="B23" s="89" t="s">
        <v>120</v>
      </c>
      <c r="C23" s="91">
        <f>Monitoring!$K$39</f>
        <v>1390.7116653061225</v>
      </c>
      <c r="D23" s="96">
        <f>19433*60/70</f>
        <v>16656.857142857141</v>
      </c>
      <c r="E23" s="95">
        <f t="shared" si="1"/>
        <v>23164885.535909038</v>
      </c>
      <c r="F23" s="97">
        <f t="shared" si="0"/>
        <v>5.5758934315650259E-2</v>
      </c>
      <c r="H23" s="94">
        <f>D16</f>
        <v>12046</v>
      </c>
      <c r="I23" t="s">
        <v>138</v>
      </c>
      <c r="J23" s="111">
        <f>H23/$H$24</f>
        <v>0.30081909899110976</v>
      </c>
    </row>
    <row r="24" spans="1:12">
      <c r="B24" s="89" t="s">
        <v>121</v>
      </c>
      <c r="C24" s="91">
        <f>Monitoring!$O$37</f>
        <v>1288.5226476190478</v>
      </c>
      <c r="D24" s="96">
        <v>2795</v>
      </c>
      <c r="E24" s="95">
        <f t="shared" si="1"/>
        <v>3601420.8000952387</v>
      </c>
      <c r="F24" s="97">
        <f t="shared" si="0"/>
        <v>8.6687838592700728E-3</v>
      </c>
      <c r="H24" s="94">
        <f>SUM(H21:H23)</f>
        <v>40044</v>
      </c>
    </row>
    <row r="25" spans="1:12">
      <c r="B25" s="89" t="s">
        <v>122</v>
      </c>
      <c r="C25" s="91">
        <f>Monitoring!$O$39</f>
        <v>2074.7732090702948</v>
      </c>
      <c r="D25" s="96">
        <v>9250</v>
      </c>
      <c r="E25" s="95">
        <f t="shared" si="1"/>
        <v>19191652.183900226</v>
      </c>
      <c r="F25" s="97">
        <f t="shared" si="0"/>
        <v>4.61951807131563E-2</v>
      </c>
    </row>
    <row r="26" spans="1:12">
      <c r="A26" s="98" t="s">
        <v>136</v>
      </c>
      <c r="B26" s="106"/>
      <c r="C26" s="107"/>
      <c r="D26" s="108"/>
      <c r="E26" s="109">
        <f>SUM(E27:E28)</f>
        <v>54856.81</v>
      </c>
      <c r="F26" s="105">
        <f t="shared" si="0"/>
        <v>1.3204283961665059E-4</v>
      </c>
    </row>
    <row r="27" spans="1:12">
      <c r="B27" t="s">
        <v>70</v>
      </c>
      <c r="C27" s="90">
        <v>16.190283900226756</v>
      </c>
      <c r="D27" s="93">
        <f>E27/C27</f>
        <v>2338.9589851151177</v>
      </c>
      <c r="E27" s="92">
        <f>'Spending data'!$H$51</f>
        <v>37868.410000000003</v>
      </c>
      <c r="F27" s="97">
        <f t="shared" si="0"/>
        <v>9.1150987236909484E-5</v>
      </c>
      <c r="G27" s="19"/>
    </row>
    <row r="28" spans="1:12">
      <c r="B28" t="s">
        <v>71</v>
      </c>
      <c r="C28" s="90">
        <v>14.517804988662132</v>
      </c>
      <c r="D28" s="93">
        <f>E28/C28</f>
        <v>1170.1768974901722</v>
      </c>
      <c r="E28" s="92">
        <f>'Spending data'!$H$58</f>
        <v>16988.399999999998</v>
      </c>
      <c r="F28" s="97">
        <f t="shared" si="0"/>
        <v>4.0891852379741129E-5</v>
      </c>
      <c r="G28" s="19"/>
    </row>
    <row r="29" spans="1:12">
      <c r="A29" s="98" t="s">
        <v>141</v>
      </c>
      <c r="B29" s="106"/>
      <c r="C29" s="107"/>
      <c r="D29" s="108"/>
      <c r="E29" s="109">
        <f>SUM(E30:E31)</f>
        <v>75485062.516089171</v>
      </c>
      <c r="F29" s="105">
        <f t="shared" ref="F29:F31" si="2">E29/$E$32</f>
        <v>0.18169598274607668</v>
      </c>
    </row>
    <row r="30" spans="1:12">
      <c r="B30" t="s">
        <v>142</v>
      </c>
      <c r="C30" s="90"/>
      <c r="D30" s="93"/>
      <c r="E30" s="92">
        <f>20%*SUM(E3,E7,E9,E14,E26)</f>
        <v>67992400.234741122</v>
      </c>
      <c r="F30" s="97">
        <f t="shared" si="2"/>
        <v>0.16366080345078465</v>
      </c>
      <c r="G30" s="19"/>
    </row>
    <row r="31" spans="1:12">
      <c r="B31" t="s">
        <v>143</v>
      </c>
      <c r="C31" s="90"/>
      <c r="D31" s="93"/>
      <c r="E31" s="92">
        <f>J9-SUM(E3,E7,E9,E14,E26,E30)</f>
        <v>7492662.2813480496</v>
      </c>
      <c r="F31" s="97">
        <f t="shared" si="2"/>
        <v>1.8035179295292015E-2</v>
      </c>
      <c r="G31" s="19"/>
    </row>
    <row r="32" spans="1:12">
      <c r="B32" s="114" t="s">
        <v>132</v>
      </c>
      <c r="C32" s="115"/>
      <c r="D32" s="115"/>
      <c r="E32" s="116">
        <f>SUMIFS(E3:E31,A3:A31,"&lt;&gt;")</f>
        <v>415447063.68979478</v>
      </c>
      <c r="F32" s="94"/>
    </row>
    <row r="33" spans="1:6">
      <c r="E33" s="94"/>
      <c r="F33" s="20"/>
    </row>
    <row r="34" spans="1:6">
      <c r="E34" s="94"/>
      <c r="F34" s="20"/>
    </row>
    <row r="35" spans="1:6" ht="64">
      <c r="A35" s="112" t="s">
        <v>140</v>
      </c>
      <c r="C35" s="12" t="s">
        <v>28</v>
      </c>
      <c r="D35" s="12" t="s">
        <v>74</v>
      </c>
      <c r="E35" s="12" t="s">
        <v>73</v>
      </c>
    </row>
    <row r="36" spans="1:6">
      <c r="A36" s="98" t="s">
        <v>133</v>
      </c>
      <c r="B36" s="98"/>
      <c r="C36" s="99"/>
      <c r="D36" s="100">
        <f>SUM(D37:D39)</f>
        <v>45636</v>
      </c>
      <c r="E36" s="100">
        <f>SUM(E37:E39)</f>
        <v>789502.80000000016</v>
      </c>
      <c r="F36" s="101">
        <f>SUM(F37:F39)</f>
        <v>1.9003691902116909E-3</v>
      </c>
    </row>
    <row r="37" spans="1:6">
      <c r="B37" t="s">
        <v>41</v>
      </c>
      <c r="C37" s="90">
        <f>'Spending data'!$H$3</f>
        <v>17.3</v>
      </c>
      <c r="D37" s="93">
        <f>E37/C37</f>
        <v>30424.000000000004</v>
      </c>
      <c r="E37" s="92">
        <f>'Spending data'!$H$2</f>
        <v>526335.20000000007</v>
      </c>
      <c r="F37" s="97">
        <f>E37/$E$32</f>
        <v>1.2669127934744606E-3</v>
      </c>
    </row>
    <row r="38" spans="1:6">
      <c r="B38" t="s">
        <v>42</v>
      </c>
      <c r="C38" s="90">
        <f>'Spending data'!$H$10</f>
        <v>17.3</v>
      </c>
      <c r="D38" s="93">
        <f>E38/C38</f>
        <v>11409</v>
      </c>
      <c r="E38" s="92">
        <f>'Spending data'!$H$9</f>
        <v>197375.7</v>
      </c>
      <c r="F38" s="97">
        <f>E38/$E$32</f>
        <v>4.7509229755292271E-4</v>
      </c>
    </row>
    <row r="39" spans="1:6">
      <c r="B39" t="s">
        <v>43</v>
      </c>
      <c r="C39" s="90">
        <f>'Spending data'!$H$17</f>
        <v>17.3</v>
      </c>
      <c r="D39" s="93">
        <f>E39/C39</f>
        <v>3803.0000000000005</v>
      </c>
      <c r="E39" s="92">
        <f>'Spending data'!$H$16</f>
        <v>65791.900000000009</v>
      </c>
      <c r="F39" s="97">
        <f>E39/$E$32</f>
        <v>1.5836409918430758E-4</v>
      </c>
    </row>
    <row r="40" spans="1:6">
      <c r="A40" s="98" t="s">
        <v>134</v>
      </c>
      <c r="B40" s="98"/>
      <c r="C40" s="102"/>
      <c r="D40" s="100">
        <f>SUM(D41:D41)</f>
        <v>3344</v>
      </c>
      <c r="E40" s="100">
        <f>SUM(E41:E41)</f>
        <v>334400</v>
      </c>
      <c r="F40" s="101">
        <f>SUM(F41:F41)</f>
        <v>8.0491602715885159E-4</v>
      </c>
    </row>
    <row r="41" spans="1:6">
      <c r="B41" t="s">
        <v>68</v>
      </c>
      <c r="C41" s="90">
        <f>'Spending data'!$H$24</f>
        <v>100</v>
      </c>
      <c r="D41" s="93">
        <f>E41/C41</f>
        <v>3344</v>
      </c>
      <c r="E41" s="92">
        <f>'Spending data'!$H$23</f>
        <v>334400</v>
      </c>
      <c r="F41" s="97">
        <f>E41/$E$32</f>
        <v>8.0491602715885159E-4</v>
      </c>
    </row>
    <row r="42" spans="1:6">
      <c r="A42" s="98" t="s">
        <v>45</v>
      </c>
      <c r="B42" s="98"/>
      <c r="C42" s="102"/>
      <c r="D42" s="103">
        <f>D43</f>
        <v>3090</v>
      </c>
      <c r="E42" s="100">
        <f>SUM(E43:E45)</f>
        <v>1215308.5779519274</v>
      </c>
      <c r="F42" s="101">
        <f>SUM(F43:F45)</f>
        <v>2.9253030871325921E-3</v>
      </c>
    </row>
    <row r="43" spans="1:6">
      <c r="B43" t="s">
        <v>130</v>
      </c>
      <c r="C43" s="90">
        <v>327.27999999999997</v>
      </c>
      <c r="D43" s="93">
        <f>'#ignore - misc calcs'!$B$4</f>
        <v>3090</v>
      </c>
      <c r="E43" s="92">
        <f>C43*D43</f>
        <v>1011295.2</v>
      </c>
      <c r="F43" s="97">
        <f t="shared" ref="F43:F61" si="3">E43/$E$32</f>
        <v>2.434233596497656E-3</v>
      </c>
    </row>
    <row r="44" spans="1:6">
      <c r="B44" t="s">
        <v>69</v>
      </c>
      <c r="C44" s="90">
        <v>151.52227120181405</v>
      </c>
      <c r="D44" s="93">
        <f>'Spending data'!$H$41</f>
        <v>734</v>
      </c>
      <c r="E44" s="92">
        <f>C44*D44</f>
        <v>111217.34706213151</v>
      </c>
      <c r="F44" s="97">
        <f t="shared" si="3"/>
        <v>2.6770521874520953E-4</v>
      </c>
    </row>
    <row r="45" spans="1:6">
      <c r="B45" t="s">
        <v>125</v>
      </c>
      <c r="C45" s="90">
        <v>42.141703401360544</v>
      </c>
      <c r="D45" s="93">
        <f>'Spending data'!$H$48</f>
        <v>2202</v>
      </c>
      <c r="E45" s="92">
        <f>C45*D45</f>
        <v>92796.030889795918</v>
      </c>
      <c r="F45" s="97">
        <f t="shared" si="3"/>
        <v>2.2336427188972667E-4</v>
      </c>
    </row>
    <row r="46" spans="1:6">
      <c r="A46" s="98" t="s">
        <v>135</v>
      </c>
      <c r="B46" s="98"/>
      <c r="C46" s="102"/>
      <c r="D46" s="103">
        <f>D49</f>
        <v>40043</v>
      </c>
      <c r="E46" s="104">
        <f>SUM(E47:E49)</f>
        <v>192063326.70003939</v>
      </c>
      <c r="F46" s="105">
        <f t="shared" si="3"/>
        <v>0.46230517311695063</v>
      </c>
    </row>
    <row r="47" spans="1:6">
      <c r="B47" t="s">
        <v>126</v>
      </c>
      <c r="C47" s="90">
        <v>902.5</v>
      </c>
      <c r="D47" s="93">
        <f>27998*60/70+12046*1/3</f>
        <v>28013.619047619046</v>
      </c>
      <c r="E47" s="92">
        <f>C47*D47</f>
        <v>25282291.19047619</v>
      </c>
      <c r="F47" s="97">
        <f t="shared" si="3"/>
        <v>6.085562614387359E-2</v>
      </c>
    </row>
    <row r="48" spans="1:6">
      <c r="B48" t="s">
        <v>127</v>
      </c>
      <c r="C48" s="90">
        <v>9382.44</v>
      </c>
      <c r="D48" s="93">
        <v>12046</v>
      </c>
      <c r="E48" s="92">
        <f>C48*D48</f>
        <v>113020872.24000001</v>
      </c>
      <c r="F48" s="97">
        <f t="shared" si="3"/>
        <v>0.2720463859732325</v>
      </c>
    </row>
    <row r="49" spans="1:6">
      <c r="B49" t="s">
        <v>131</v>
      </c>
      <c r="C49" s="90"/>
      <c r="D49" s="94">
        <f>SUM(D50:D55)</f>
        <v>40043</v>
      </c>
      <c r="E49" s="92">
        <f>SUM(E50:E55)</f>
        <v>53760163.269563198</v>
      </c>
      <c r="F49" s="97">
        <f t="shared" si="3"/>
        <v>0.12940316099984459</v>
      </c>
    </row>
    <row r="50" spans="1:6">
      <c r="B50" s="89" t="s">
        <v>117</v>
      </c>
      <c r="C50" s="91">
        <f>Monitoring!$J$37</f>
        <v>644.2613238095239</v>
      </c>
      <c r="D50" s="96">
        <f>8565*10/70</f>
        <v>1223.5714285714287</v>
      </c>
      <c r="E50" s="95">
        <f t="shared" ref="E50:E55" si="4">C50*D50</f>
        <v>788299.74834693898</v>
      </c>
      <c r="F50" s="97">
        <f t="shared" si="3"/>
        <v>1.8974733901008991E-3</v>
      </c>
    </row>
    <row r="51" spans="1:6">
      <c r="B51" s="89" t="s">
        <v>118</v>
      </c>
      <c r="C51" s="91">
        <f>Monitoring!$J$39</f>
        <v>744.2613238095239</v>
      </c>
      <c r="D51" s="96">
        <f>19433*10/70</f>
        <v>2776.1428571428573</v>
      </c>
      <c r="E51" s="95">
        <f t="shared" si="4"/>
        <v>2066175.757941497</v>
      </c>
      <c r="F51" s="97">
        <f t="shared" si="3"/>
        <v>4.9733791342529872E-3</v>
      </c>
    </row>
    <row r="52" spans="1:6">
      <c r="B52" s="89" t="s">
        <v>119</v>
      </c>
      <c r="C52" s="91">
        <f>Monitoring!$K$37</f>
        <v>673.94638458049894</v>
      </c>
      <c r="D52" s="96">
        <f>8565*60/70</f>
        <v>7341.4285714285716</v>
      </c>
      <c r="E52" s="95">
        <f t="shared" si="4"/>
        <v>4947729.2433702629</v>
      </c>
      <c r="F52" s="97">
        <f t="shared" si="3"/>
        <v>1.1909409587414063E-2</v>
      </c>
    </row>
    <row r="53" spans="1:6">
      <c r="B53" s="89" t="s">
        <v>120</v>
      </c>
      <c r="C53" s="91">
        <f>Monitoring!$K$39</f>
        <v>1390.7116653061225</v>
      </c>
      <c r="D53" s="96">
        <f>19433*60/70</f>
        <v>16656.857142857141</v>
      </c>
      <c r="E53" s="95">
        <f t="shared" si="4"/>
        <v>23164885.535909038</v>
      </c>
      <c r="F53" s="97">
        <f t="shared" si="3"/>
        <v>5.5758934315650259E-2</v>
      </c>
    </row>
    <row r="54" spans="1:6">
      <c r="B54" s="89" t="s">
        <v>121</v>
      </c>
      <c r="C54" s="91">
        <f>Monitoring!$O$37</f>
        <v>1288.5226476190478</v>
      </c>
      <c r="D54" s="96">
        <v>2795</v>
      </c>
      <c r="E54" s="95">
        <f t="shared" si="4"/>
        <v>3601420.8000952387</v>
      </c>
      <c r="F54" s="97">
        <f t="shared" si="3"/>
        <v>8.6687838592700728E-3</v>
      </c>
    </row>
    <row r="55" spans="1:6">
      <c r="B55" s="89" t="s">
        <v>122</v>
      </c>
      <c r="C55" s="91">
        <f>Monitoring!$O$39</f>
        <v>2074.7732090702948</v>
      </c>
      <c r="D55" s="96">
        <v>9250</v>
      </c>
      <c r="E55" s="95">
        <f t="shared" si="4"/>
        <v>19191652.183900226</v>
      </c>
      <c r="F55" s="97">
        <f t="shared" si="3"/>
        <v>4.61951807131563E-2</v>
      </c>
    </row>
    <row r="56" spans="1:6">
      <c r="A56" s="98" t="s">
        <v>136</v>
      </c>
      <c r="B56" s="106"/>
      <c r="C56" s="107"/>
      <c r="D56" s="108"/>
      <c r="E56" s="109">
        <f>SUM(E57:E58)</f>
        <v>54856.81</v>
      </c>
      <c r="F56" s="105">
        <f t="shared" si="3"/>
        <v>1.3204283961665059E-4</v>
      </c>
    </row>
    <row r="57" spans="1:6">
      <c r="B57" t="s">
        <v>70</v>
      </c>
      <c r="C57" s="90">
        <v>16.190283900226756</v>
      </c>
      <c r="D57" s="93">
        <f>E57/C57</f>
        <v>2338.9589851151177</v>
      </c>
      <c r="E57" s="92">
        <f>'Spending data'!$H$51</f>
        <v>37868.410000000003</v>
      </c>
      <c r="F57" s="97">
        <f t="shared" si="3"/>
        <v>9.1150987236909484E-5</v>
      </c>
    </row>
    <row r="58" spans="1:6">
      <c r="B58" t="s">
        <v>71</v>
      </c>
      <c r="C58" s="90">
        <v>14.517804988662132</v>
      </c>
      <c r="D58" s="93">
        <f>E58/C58</f>
        <v>1170.1768974901722</v>
      </c>
      <c r="E58" s="92">
        <f>'Spending data'!$H$58</f>
        <v>16988.399999999998</v>
      </c>
      <c r="F58" s="97">
        <f t="shared" si="3"/>
        <v>4.0891852379741129E-5</v>
      </c>
    </row>
    <row r="59" spans="1:6">
      <c r="A59" s="98" t="s">
        <v>141</v>
      </c>
      <c r="B59" s="106"/>
      <c r="C59" s="107"/>
      <c r="D59" s="108"/>
      <c r="E59" s="109">
        <f>SUM(E60:E61)</f>
        <v>220989668.80180341</v>
      </c>
      <c r="F59" s="105">
        <f t="shared" si="3"/>
        <v>0.53193219573892947</v>
      </c>
    </row>
    <row r="60" spans="1:6">
      <c r="B60" t="s">
        <v>142</v>
      </c>
      <c r="C60" s="90"/>
      <c r="D60" s="93"/>
      <c r="E60" s="92">
        <f>20%*SUM(E36,E40,E42,E46,E56)</f>
        <v>38891478.977598265</v>
      </c>
      <c r="F60" s="97">
        <f t="shared" si="3"/>
        <v>9.3613560852214089E-2</v>
      </c>
    </row>
    <row r="61" spans="1:6">
      <c r="B61" t="s">
        <v>143</v>
      </c>
      <c r="C61" s="90"/>
      <c r="D61" s="93"/>
      <c r="E61" s="92">
        <f>J9-SUM(E36,E40,E42,E46,E56,E60)</f>
        <v>182098189.82420516</v>
      </c>
      <c r="F61" s="97">
        <f t="shared" si="3"/>
        <v>0.43831863488671541</v>
      </c>
    </row>
    <row r="62" spans="1:6">
      <c r="B62" s="114" t="s">
        <v>132</v>
      </c>
      <c r="C62" s="115"/>
      <c r="D62" s="115"/>
      <c r="E62" s="116">
        <f>SUMIFS(E36:E61,A36:A61,"&lt;&gt;")</f>
        <v>415447063.68979472</v>
      </c>
      <c r="F62" s="9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>
      <c r="C1" s="120" t="s">
        <v>116</v>
      </c>
      <c r="D1" s="120"/>
      <c r="E1" s="120"/>
      <c r="F1" s="120"/>
      <c r="G1" s="120"/>
      <c r="H1" s="120"/>
      <c r="I1" s="121" t="s">
        <v>115</v>
      </c>
      <c r="J1" s="122" t="s">
        <v>114</v>
      </c>
      <c r="K1" s="122"/>
      <c r="L1" s="122"/>
      <c r="M1" s="122"/>
      <c r="N1" s="122"/>
      <c r="O1" s="122"/>
      <c r="Q1" s="87"/>
      <c r="R1" s="29"/>
    </row>
    <row r="2" spans="1:19">
      <c r="C2" s="123" t="s">
        <v>113</v>
      </c>
      <c r="D2" s="123"/>
      <c r="E2" s="123"/>
      <c r="F2" s="124" t="s">
        <v>112</v>
      </c>
      <c r="G2" s="124"/>
      <c r="H2" s="124"/>
      <c r="I2" s="121"/>
      <c r="J2" s="123" t="s">
        <v>113</v>
      </c>
      <c r="K2" s="123"/>
      <c r="L2" s="123"/>
      <c r="M2" s="124" t="s">
        <v>112</v>
      </c>
      <c r="N2" s="124"/>
      <c r="O2" s="124"/>
    </row>
    <row r="3" spans="1:19">
      <c r="A3" s="85"/>
      <c r="C3" s="84" t="s">
        <v>111</v>
      </c>
      <c r="D3" s="83" t="s">
        <v>110</v>
      </c>
      <c r="E3" s="82" t="s">
        <v>109</v>
      </c>
      <c r="F3" s="81" t="s">
        <v>111</v>
      </c>
      <c r="G3" s="80" t="s">
        <v>110</v>
      </c>
      <c r="H3" s="79" t="s">
        <v>109</v>
      </c>
      <c r="I3" s="121"/>
      <c r="J3" s="84" t="s">
        <v>111</v>
      </c>
      <c r="K3" s="83" t="s">
        <v>110</v>
      </c>
      <c r="L3" s="82" t="s">
        <v>109</v>
      </c>
      <c r="M3" s="81" t="s">
        <v>111</v>
      </c>
      <c r="N3" s="80" t="s">
        <v>110</v>
      </c>
      <c r="O3" s="79" t="s">
        <v>109</v>
      </c>
      <c r="Q3" s="74"/>
      <c r="R3" s="26"/>
    </row>
    <row r="4" spans="1:19" ht="14.25" customHeight="1">
      <c r="B4" s="78" t="s">
        <v>108</v>
      </c>
      <c r="C4" s="77" t="s">
        <v>107</v>
      </c>
      <c r="D4" s="77" t="s">
        <v>107</v>
      </c>
      <c r="E4" s="45" t="s">
        <v>107</v>
      </c>
      <c r="F4" s="45" t="s">
        <v>107</v>
      </c>
      <c r="G4" s="45" t="s">
        <v>107</v>
      </c>
      <c r="H4" s="77" t="s">
        <v>107</v>
      </c>
      <c r="I4" s="77" t="s">
        <v>107</v>
      </c>
      <c r="J4" s="76" t="s">
        <v>107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>
      <c r="A6" s="117" t="s">
        <v>106</v>
      </c>
      <c r="B6" s="57" t="s">
        <v>102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101</v>
      </c>
      <c r="R6" s="53"/>
      <c r="S6" s="52"/>
    </row>
    <row r="7" spans="1:19" ht="11.25" customHeight="1">
      <c r="A7" s="117"/>
      <c r="B7" s="33" t="s">
        <v>100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>
      <c r="A8" s="117"/>
      <c r="B8" s="33" t="s">
        <v>99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>
      <c r="A9" s="117"/>
      <c r="B9" s="55" t="s">
        <v>98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97</v>
      </c>
      <c r="R9" s="53"/>
      <c r="S9" s="52"/>
    </row>
    <row r="10" spans="1:19">
      <c r="A10" s="117"/>
      <c r="B10" s="33" t="s">
        <v>96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>
      <c r="A11" s="117"/>
      <c r="B11" s="33" t="s">
        <v>95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>
      <c r="A12" s="117"/>
      <c r="B12" s="33" t="s">
        <v>94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105</v>
      </c>
    </row>
    <row r="13" spans="1:19">
      <c r="A13" s="117"/>
      <c r="B13" s="33" t="s">
        <v>92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>
      <c r="A14" s="117"/>
      <c r="B14" s="48" t="s">
        <v>91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104</v>
      </c>
      <c r="R14" s="67"/>
    </row>
    <row r="15" spans="1:19">
      <c r="A15" s="117"/>
      <c r="B15" s="33" t="s">
        <v>89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88</v>
      </c>
      <c r="R15" s="67"/>
    </row>
    <row r="16" spans="1:19">
      <c r="A16" s="117"/>
      <c r="B16" s="33" t="s">
        <v>87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86</v>
      </c>
      <c r="R16" s="67"/>
    </row>
    <row r="17" spans="1:19">
      <c r="A17" s="117"/>
      <c r="B17" s="48" t="s">
        <v>85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>
      <c r="A18" s="118"/>
      <c r="B18" s="33" t="s">
        <v>80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79</v>
      </c>
    </row>
    <row r="19" spans="1:19" ht="6.75" customHeight="1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>
      <c r="A20" s="119" t="s">
        <v>103</v>
      </c>
      <c r="B20" s="57" t="s">
        <v>102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101</v>
      </c>
      <c r="R20" s="53"/>
      <c r="S20" s="52"/>
    </row>
    <row r="21" spans="1:19" ht="11.25" customHeight="1">
      <c r="A21" s="119"/>
      <c r="B21" s="33" t="s">
        <v>100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>
      <c r="A22" s="119"/>
      <c r="B22" s="33" t="s">
        <v>99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>
      <c r="A23" s="119"/>
      <c r="B23" s="55" t="s">
        <v>98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97</v>
      </c>
      <c r="R23" s="53"/>
      <c r="S23" s="52"/>
    </row>
    <row r="24" spans="1:19" ht="11.25" customHeight="1">
      <c r="A24" s="119"/>
      <c r="B24" s="33" t="s">
        <v>96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>
      <c r="A25" s="119"/>
      <c r="B25" s="33" t="s">
        <v>95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>
      <c r="A26" s="119"/>
      <c r="B26" s="33" t="s">
        <v>94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93</v>
      </c>
    </row>
    <row r="27" spans="1:19">
      <c r="A27" s="119"/>
      <c r="B27" s="33" t="s">
        <v>92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>
      <c r="A28" s="119"/>
      <c r="B28" s="48" t="s">
        <v>91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90</v>
      </c>
    </row>
    <row r="29" spans="1:19">
      <c r="A29" s="119"/>
      <c r="B29" s="33" t="s">
        <v>89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88</v>
      </c>
    </row>
    <row r="30" spans="1:19">
      <c r="A30" s="119"/>
      <c r="B30" s="33" t="s">
        <v>87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86</v>
      </c>
    </row>
    <row r="31" spans="1:19">
      <c r="A31" s="119"/>
      <c r="B31" s="48" t="s">
        <v>85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>
      <c r="A32" s="119"/>
      <c r="B32" s="43" t="s">
        <v>84</v>
      </c>
      <c r="C32" s="42" t="s">
        <v>83</v>
      </c>
      <c r="D32" s="42" t="s">
        <v>82</v>
      </c>
      <c r="E32" s="41"/>
      <c r="F32" s="38"/>
      <c r="G32" s="38"/>
      <c r="H32" s="40" t="s">
        <v>81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>
      <c r="A33" s="119"/>
      <c r="B33" s="33" t="s">
        <v>80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79</v>
      </c>
    </row>
    <row r="34" spans="1:18">
      <c r="R34" s="29"/>
    </row>
    <row r="35" spans="1:18">
      <c r="B35" s="28" t="s">
        <v>78</v>
      </c>
      <c r="Q35" s="27"/>
    </row>
    <row r="36" spans="1:18">
      <c r="B36" s="26" t="s">
        <v>77</v>
      </c>
      <c r="Q36" s="26"/>
    </row>
    <row r="37" spans="1:18">
      <c r="B37" s="26" t="s">
        <v>76</v>
      </c>
      <c r="I37" s="21" t="s">
        <v>123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>
      <c r="B38" s="25" t="s">
        <v>75</v>
      </c>
      <c r="I38" s="21" t="s">
        <v>124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>
      <c r="I39" s="21" t="s">
        <v>123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>
      <c r="I40" s="21" t="s">
        <v>124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>
      <c r="J42" s="24"/>
    </row>
    <row r="45" spans="1:18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2019-03-19T06:37:35Z</dcterms:modified>
  <cp:category>atomica:progbook</cp:category>
</cp:coreProperties>
</file>