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tardigrades/"/>
    </mc:Choice>
  </mc:AlternateContent>
  <bookViews>
    <workbookView xWindow="0" yWindow="460" windowWidth="28420" windowHeight="16280" tabRatio="668" activeTab="5"/>
  </bookViews>
  <sheets>
    <sheet name="Indledning" sheetId="6" r:id="rId1"/>
    <sheet name="1 - Filterpapir SW" sheetId="1" r:id="rId2"/>
    <sheet name="2 - Filterpapir dH2O" sheetId="2" r:id="rId3"/>
    <sheet name="3 - glass surface" sheetId="3" r:id="rId4"/>
    <sheet name="4 - hedgehog spines" sheetId="4" r:id="rId5"/>
    <sheet name="Controls" sheetId="8" r:id="rId6"/>
    <sheet name="5 - All data"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59" i="1" l="1"/>
  <c r="L160" i="1"/>
  <c r="L161" i="1"/>
  <c r="L162" i="1"/>
  <c r="L163" i="1"/>
  <c r="L164" i="1"/>
  <c r="L165" i="1"/>
  <c r="L166" i="1"/>
  <c r="L255" i="1"/>
  <c r="K255" i="1"/>
  <c r="L254" i="1"/>
  <c r="K254" i="1"/>
  <c r="L253" i="1"/>
  <c r="K253" i="1"/>
  <c r="L252" i="1"/>
  <c r="K252" i="1"/>
  <c r="L251" i="1"/>
  <c r="K251" i="1"/>
  <c r="L250" i="1"/>
  <c r="K250" i="1"/>
  <c r="E132" i="8"/>
  <c r="E131" i="8"/>
  <c r="E130" i="8"/>
  <c r="E129" i="8"/>
  <c r="E128" i="8"/>
  <c r="E127" i="8"/>
  <c r="F132" i="8"/>
  <c r="F131" i="8"/>
  <c r="F130" i="8"/>
  <c r="F129" i="8"/>
  <c r="F128" i="8"/>
  <c r="F127" i="8"/>
  <c r="E126" i="8"/>
  <c r="F126" i="8"/>
  <c r="E125" i="8"/>
  <c r="F125" i="8"/>
  <c r="E124" i="8"/>
  <c r="F124" i="8"/>
  <c r="E123" i="8"/>
  <c r="F123" i="8"/>
  <c r="E122" i="8"/>
  <c r="F122" i="8"/>
  <c r="E121" i="8"/>
  <c r="F121" i="8"/>
  <c r="E120" i="8"/>
  <c r="F120" i="8"/>
  <c r="E119" i="8"/>
  <c r="F119" i="8"/>
  <c r="E118" i="8"/>
  <c r="F118" i="8"/>
  <c r="E117" i="8"/>
  <c r="F117" i="8"/>
  <c r="E116" i="8"/>
  <c r="F116" i="8"/>
  <c r="E115" i="8"/>
  <c r="F115" i="8"/>
  <c r="E114" i="8"/>
  <c r="F114" i="8"/>
  <c r="E113" i="8"/>
  <c r="F113" i="8"/>
  <c r="E112" i="8"/>
  <c r="F112" i="8"/>
  <c r="E111" i="8"/>
  <c r="F111" i="8"/>
  <c r="E110" i="8"/>
  <c r="F110" i="8"/>
  <c r="E109" i="8"/>
  <c r="F109" i="8"/>
  <c r="E108" i="8"/>
  <c r="F108" i="8"/>
  <c r="E107" i="8"/>
  <c r="F107" i="8"/>
  <c r="E106" i="8"/>
  <c r="F106" i="8"/>
  <c r="E105" i="8"/>
  <c r="F105" i="8"/>
  <c r="E104" i="8"/>
  <c r="F104" i="8"/>
  <c r="E103" i="8"/>
  <c r="F103" i="8"/>
  <c r="E102" i="8"/>
  <c r="F102" i="8"/>
  <c r="E101" i="8"/>
  <c r="F101" i="8"/>
  <c r="E100" i="8"/>
  <c r="F100" i="8"/>
  <c r="E99" i="8"/>
  <c r="F99" i="8"/>
  <c r="E98" i="8"/>
  <c r="F98" i="8"/>
  <c r="E97" i="8"/>
  <c r="F97" i="8"/>
  <c r="E96" i="8"/>
  <c r="F96" i="8"/>
  <c r="E95" i="8"/>
  <c r="F95" i="8"/>
  <c r="E94" i="8"/>
  <c r="F94" i="8"/>
  <c r="E93" i="8"/>
  <c r="F93" i="8"/>
  <c r="E92" i="8"/>
  <c r="F92" i="8"/>
  <c r="E91" i="8"/>
  <c r="F91" i="8"/>
  <c r="E90" i="8"/>
  <c r="F90" i="8"/>
  <c r="E89" i="8"/>
  <c r="F89" i="8"/>
  <c r="E88" i="8"/>
  <c r="F88" i="8"/>
  <c r="E87" i="8"/>
  <c r="F87" i="8"/>
  <c r="E86" i="8"/>
  <c r="F86" i="8"/>
  <c r="E85" i="8"/>
  <c r="F85" i="8"/>
  <c r="E84" i="8"/>
  <c r="F84" i="8"/>
  <c r="E83" i="8"/>
  <c r="F83" i="8"/>
  <c r="E82" i="8"/>
  <c r="F82" i="8"/>
  <c r="E81" i="8"/>
  <c r="F81" i="8"/>
  <c r="E80" i="8"/>
  <c r="F80" i="8"/>
  <c r="E79" i="8"/>
  <c r="F79" i="8"/>
  <c r="E78" i="8"/>
  <c r="F78" i="8"/>
  <c r="E77" i="8"/>
  <c r="F77" i="8"/>
  <c r="E76" i="8"/>
  <c r="F76" i="8"/>
  <c r="E75" i="8"/>
  <c r="F75" i="8"/>
  <c r="E74" i="8"/>
  <c r="F74" i="8"/>
  <c r="E73" i="8"/>
  <c r="F73" i="8"/>
  <c r="E72" i="8"/>
  <c r="F72" i="8"/>
  <c r="E71" i="8"/>
  <c r="F71" i="8"/>
  <c r="E70" i="8"/>
  <c r="F70" i="8"/>
  <c r="E69" i="8"/>
  <c r="F69" i="8"/>
  <c r="E68" i="8"/>
  <c r="F68" i="8"/>
  <c r="E67" i="8"/>
  <c r="F67" i="8"/>
  <c r="E66" i="8"/>
  <c r="F66" i="8"/>
  <c r="E65" i="8"/>
  <c r="F65" i="8"/>
  <c r="E64" i="8"/>
  <c r="F64" i="8"/>
  <c r="E63" i="8"/>
  <c r="F63" i="8"/>
  <c r="E62" i="8"/>
  <c r="F62" i="8"/>
  <c r="E61" i="8"/>
  <c r="F61" i="8"/>
  <c r="E60" i="8"/>
  <c r="F60" i="8"/>
  <c r="E59" i="8"/>
  <c r="F59" i="8"/>
  <c r="E58" i="8"/>
  <c r="F58" i="8"/>
  <c r="E57" i="8"/>
  <c r="F57" i="8"/>
  <c r="E56" i="8"/>
  <c r="F56" i="8"/>
  <c r="E55" i="8"/>
  <c r="F55" i="8"/>
  <c r="E54" i="8"/>
  <c r="F54" i="8"/>
  <c r="E53" i="8"/>
  <c r="F53" i="8"/>
  <c r="E52" i="8"/>
  <c r="F52" i="8"/>
  <c r="E51" i="8"/>
  <c r="F51" i="8"/>
  <c r="E50" i="8"/>
  <c r="F50" i="8"/>
  <c r="E49" i="8"/>
  <c r="F49" i="8"/>
  <c r="E48" i="8"/>
  <c r="F48" i="8"/>
  <c r="E47" i="8"/>
  <c r="F47" i="8"/>
  <c r="E46" i="8"/>
  <c r="F46" i="8"/>
  <c r="E45" i="8"/>
  <c r="F45" i="8"/>
  <c r="E44" i="8"/>
  <c r="F44" i="8"/>
  <c r="E43" i="8"/>
  <c r="F43" i="8"/>
  <c r="E42" i="8"/>
  <c r="F42" i="8"/>
  <c r="E41" i="8"/>
  <c r="F41" i="8"/>
  <c r="E40" i="8"/>
  <c r="F40" i="8"/>
  <c r="E39" i="8"/>
  <c r="F39" i="8"/>
  <c r="E38" i="8"/>
  <c r="F38" i="8"/>
  <c r="E37" i="8"/>
  <c r="F37" i="8"/>
  <c r="E36" i="8"/>
  <c r="F36" i="8"/>
  <c r="E35" i="8"/>
  <c r="F35" i="8"/>
  <c r="E34" i="8"/>
  <c r="F34" i="8"/>
  <c r="E33" i="8"/>
  <c r="F33" i="8"/>
  <c r="E32" i="8"/>
  <c r="F32" i="8"/>
  <c r="E31" i="8"/>
  <c r="F31" i="8"/>
  <c r="E30" i="8"/>
  <c r="F30" i="8"/>
  <c r="E29" i="8"/>
  <c r="F29" i="8"/>
  <c r="E28" i="8"/>
  <c r="F28" i="8"/>
  <c r="E27" i="8"/>
  <c r="F27" i="8"/>
  <c r="E26" i="8"/>
  <c r="F26" i="8"/>
  <c r="E25" i="8"/>
  <c r="F25" i="8"/>
  <c r="E24" i="8"/>
  <c r="F24" i="8"/>
  <c r="E23" i="8"/>
  <c r="F23" i="8"/>
  <c r="E22" i="8"/>
  <c r="F22" i="8"/>
  <c r="E21" i="8"/>
  <c r="F21" i="8"/>
  <c r="E20" i="8"/>
  <c r="F20" i="8"/>
  <c r="E19" i="8"/>
  <c r="F19" i="8"/>
  <c r="E18" i="8"/>
  <c r="F18" i="8"/>
  <c r="E17" i="8"/>
  <c r="F17" i="8"/>
  <c r="E16" i="8"/>
  <c r="F16" i="8"/>
  <c r="E15" i="8"/>
  <c r="F15" i="8"/>
  <c r="E14" i="8"/>
  <c r="F14" i="8"/>
  <c r="E13" i="8"/>
  <c r="F13" i="8"/>
  <c r="E12" i="8"/>
  <c r="F12" i="8"/>
  <c r="E11" i="8"/>
  <c r="F11" i="8"/>
  <c r="E10" i="8"/>
  <c r="F10" i="8"/>
  <c r="E9" i="8"/>
  <c r="F9" i="8"/>
  <c r="E8" i="8"/>
  <c r="F8" i="8"/>
  <c r="E7" i="8"/>
  <c r="F7" i="8"/>
  <c r="E6" i="8"/>
  <c r="F6" i="8"/>
  <c r="E5" i="8"/>
  <c r="F5" i="8"/>
  <c r="E4" i="8"/>
  <c r="F4" i="8"/>
  <c r="E3" i="8"/>
  <c r="F3" i="8"/>
  <c r="E2" i="8"/>
  <c r="F2" i="8"/>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K166" i="1"/>
  <c r="K165" i="1"/>
  <c r="K164" i="1"/>
  <c r="K163" i="1"/>
  <c r="K162" i="1"/>
  <c r="K161" i="1"/>
  <c r="K160"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K126" i="1"/>
  <c r="L126" i="1"/>
  <c r="K127" i="1"/>
  <c r="L127" i="1"/>
  <c r="K128" i="1"/>
  <c r="L128" i="1"/>
  <c r="K129" i="1"/>
  <c r="L129" i="1"/>
  <c r="K130" i="1"/>
  <c r="L130" i="1"/>
  <c r="K131" i="1"/>
  <c r="L131" i="1"/>
  <c r="K132" i="1"/>
  <c r="L132" i="1"/>
  <c r="K133" i="1"/>
  <c r="L133" i="1"/>
  <c r="K134" i="1"/>
  <c r="L134" i="1"/>
  <c r="K135" i="1"/>
  <c r="L135" i="1"/>
  <c r="K136" i="1"/>
  <c r="L136" i="1"/>
  <c r="K137" i="1"/>
  <c r="L137" i="1"/>
  <c r="K138" i="1"/>
  <c r="L138" i="1"/>
  <c r="L125" i="1"/>
  <c r="K125" i="1"/>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C104" i="3"/>
  <c r="C103" i="3"/>
  <c r="C102" i="3"/>
  <c r="C73" i="3"/>
  <c r="C72" i="3"/>
  <c r="C71" i="3"/>
  <c r="C39" i="3"/>
  <c r="C38" i="3"/>
  <c r="C37" i="3"/>
  <c r="C36" i="3"/>
  <c r="C35" i="3"/>
  <c r="C34" i="3"/>
  <c r="C87" i="1"/>
  <c r="D65" i="7"/>
  <c r="E65" i="7"/>
  <c r="G65" i="7"/>
  <c r="H65" i="7"/>
  <c r="D66" i="7"/>
  <c r="E66" i="7"/>
  <c r="G66" i="7"/>
  <c r="H66" i="7"/>
  <c r="D67" i="7"/>
  <c r="E67" i="7"/>
  <c r="G67" i="7"/>
  <c r="H67" i="7"/>
  <c r="D68" i="7"/>
  <c r="E68" i="7"/>
  <c r="G68" i="7"/>
  <c r="H68" i="7"/>
  <c r="D69" i="7"/>
  <c r="E69" i="7"/>
  <c r="G69" i="7"/>
  <c r="H69" i="7"/>
  <c r="E52" i="7"/>
  <c r="G52" i="7"/>
  <c r="H52" i="7"/>
  <c r="E51" i="7"/>
  <c r="G51" i="7"/>
  <c r="H51" i="7"/>
  <c r="E50" i="7"/>
  <c r="G50" i="7"/>
  <c r="H50" i="7"/>
  <c r="E49" i="7"/>
  <c r="G49" i="7"/>
  <c r="H49" i="7"/>
  <c r="E48" i="7"/>
  <c r="G48" i="7"/>
  <c r="H48" i="7"/>
  <c r="E47" i="7"/>
  <c r="G47" i="7"/>
  <c r="H47" i="7"/>
  <c r="D52" i="7"/>
  <c r="D51" i="7"/>
  <c r="D50" i="7"/>
  <c r="D49" i="7"/>
  <c r="D48" i="7"/>
  <c r="D47" i="7"/>
  <c r="B52" i="7"/>
  <c r="B51" i="7"/>
  <c r="B50" i="7"/>
  <c r="B49" i="7"/>
  <c r="B48" i="7"/>
  <c r="B47"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58" i="7"/>
  <c r="E59" i="7"/>
  <c r="E60" i="7"/>
  <c r="E61" i="7"/>
  <c r="E62" i="7"/>
  <c r="E63" i="7"/>
  <c r="E64" i="7"/>
  <c r="E32" i="7"/>
  <c r="E33" i="7"/>
  <c r="E34" i="7"/>
  <c r="E35" i="7"/>
  <c r="E36" i="7"/>
  <c r="E37" i="7"/>
  <c r="E38" i="7"/>
  <c r="E39" i="7"/>
  <c r="E40" i="7"/>
  <c r="E41" i="7"/>
  <c r="E42" i="7"/>
  <c r="E43" i="7"/>
  <c r="E44" i="7"/>
  <c r="E45" i="7"/>
  <c r="E46" i="7"/>
  <c r="E53" i="7"/>
  <c r="E54" i="7"/>
  <c r="E55" i="7"/>
  <c r="E56" i="7"/>
  <c r="E57"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2" i="7"/>
  <c r="G165" i="7"/>
  <c r="H165" i="7"/>
  <c r="G164" i="7"/>
  <c r="H164" i="7"/>
  <c r="G163" i="7"/>
  <c r="H163" i="7"/>
  <c r="G162" i="7"/>
  <c r="H162" i="7"/>
  <c r="G161" i="7"/>
  <c r="H161" i="7"/>
  <c r="G160" i="7"/>
  <c r="H160" i="7"/>
  <c r="G159" i="7"/>
  <c r="H159" i="7"/>
  <c r="G158" i="7"/>
  <c r="H158" i="7"/>
  <c r="G157" i="7"/>
  <c r="H157" i="7"/>
  <c r="G156" i="7"/>
  <c r="H156" i="7"/>
  <c r="G155" i="7"/>
  <c r="H155" i="7"/>
  <c r="G154" i="7"/>
  <c r="H154" i="7"/>
  <c r="G153" i="7"/>
  <c r="H153" i="7"/>
  <c r="D165" i="7"/>
  <c r="D164" i="7"/>
  <c r="D163" i="7"/>
  <c r="D162" i="7"/>
  <c r="D161" i="7"/>
  <c r="D160" i="7"/>
  <c r="D159" i="7"/>
  <c r="D158" i="7"/>
  <c r="D157" i="7"/>
  <c r="D156" i="7"/>
  <c r="D155" i="7"/>
  <c r="D154" i="7"/>
  <c r="D153" i="7"/>
  <c r="G152" i="7"/>
  <c r="H152" i="7"/>
  <c r="G151" i="7"/>
  <c r="H151" i="7"/>
  <c r="G150" i="7"/>
  <c r="H150" i="7"/>
  <c r="G149" i="7"/>
  <c r="H149" i="7"/>
  <c r="G148" i="7"/>
  <c r="H148" i="7"/>
  <c r="G147" i="7"/>
  <c r="H147" i="7"/>
  <c r="G146" i="7"/>
  <c r="H146" i="7"/>
  <c r="G145" i="7"/>
  <c r="H145" i="7"/>
  <c r="G144" i="7"/>
  <c r="H144" i="7"/>
  <c r="G143" i="7"/>
  <c r="H143" i="7"/>
  <c r="G142" i="7"/>
  <c r="H142" i="7"/>
  <c r="G141" i="7"/>
  <c r="H141" i="7"/>
  <c r="G140" i="7"/>
  <c r="H140" i="7"/>
  <c r="G139" i="7"/>
  <c r="H139" i="7"/>
  <c r="G138" i="7"/>
  <c r="H138" i="7"/>
  <c r="G137" i="7"/>
  <c r="H137" i="7"/>
  <c r="G136" i="7"/>
  <c r="H136" i="7"/>
  <c r="G135" i="7"/>
  <c r="H135" i="7"/>
  <c r="G134" i="7"/>
  <c r="H134" i="7"/>
  <c r="G133" i="7"/>
  <c r="H133" i="7"/>
  <c r="G132" i="7"/>
  <c r="H132" i="7"/>
  <c r="G131" i="7"/>
  <c r="H131" i="7"/>
  <c r="G130" i="7"/>
  <c r="H130" i="7"/>
  <c r="G129" i="7"/>
  <c r="H129" i="7"/>
  <c r="G128" i="7"/>
  <c r="H128" i="7"/>
  <c r="G127" i="7"/>
  <c r="H127" i="7"/>
  <c r="G126" i="7"/>
  <c r="H126" i="7"/>
  <c r="G125" i="7"/>
  <c r="H125" i="7"/>
  <c r="G124" i="7"/>
  <c r="H124" i="7"/>
  <c r="G123" i="7"/>
  <c r="H123" i="7"/>
  <c r="G122" i="7"/>
  <c r="H122" i="7"/>
  <c r="G121" i="7"/>
  <c r="H121" i="7"/>
  <c r="G120" i="7"/>
  <c r="H120" i="7"/>
  <c r="G119" i="7"/>
  <c r="H119" i="7"/>
  <c r="G118" i="7"/>
  <c r="H118" i="7"/>
  <c r="G117" i="7"/>
  <c r="H117" i="7"/>
  <c r="G116" i="7"/>
  <c r="H116" i="7"/>
  <c r="G115" i="7"/>
  <c r="H115" i="7"/>
  <c r="G114" i="7"/>
  <c r="H114" i="7"/>
  <c r="G113" i="7"/>
  <c r="H113" i="7"/>
  <c r="G112" i="7"/>
  <c r="H112" i="7"/>
  <c r="G111" i="7"/>
  <c r="H111" i="7"/>
  <c r="G110" i="7"/>
  <c r="H110" i="7"/>
  <c r="G109" i="7"/>
  <c r="H109" i="7"/>
  <c r="G108" i="7"/>
  <c r="H108" i="7"/>
  <c r="G107" i="7"/>
  <c r="H107" i="7"/>
  <c r="G106" i="7"/>
  <c r="H106" i="7"/>
  <c r="G105" i="7"/>
  <c r="H105" i="7"/>
  <c r="G104" i="7"/>
  <c r="H104" i="7"/>
  <c r="G103" i="7"/>
  <c r="H103" i="7"/>
  <c r="G102" i="7"/>
  <c r="H102" i="7"/>
  <c r="G101" i="7"/>
  <c r="H101" i="7"/>
  <c r="G100" i="7"/>
  <c r="H100" i="7"/>
  <c r="G99" i="7"/>
  <c r="H99" i="7"/>
  <c r="G98" i="7"/>
  <c r="H98" i="7"/>
  <c r="G97" i="7"/>
  <c r="H97" i="7"/>
  <c r="G96" i="7"/>
  <c r="H96" i="7"/>
  <c r="G95" i="7"/>
  <c r="H95" i="7"/>
  <c r="G94" i="7"/>
  <c r="H94" i="7"/>
  <c r="G93" i="7"/>
  <c r="H93" i="7"/>
  <c r="G92" i="7"/>
  <c r="H92" i="7"/>
  <c r="G91" i="7"/>
  <c r="H91" i="7"/>
  <c r="G90" i="7"/>
  <c r="H90" i="7"/>
  <c r="G89" i="7"/>
  <c r="H89" i="7"/>
  <c r="G88" i="7"/>
  <c r="H88" i="7"/>
  <c r="G87" i="7"/>
  <c r="H87" i="7"/>
  <c r="G86" i="7"/>
  <c r="H86" i="7"/>
  <c r="G85" i="7"/>
  <c r="H85" i="7"/>
  <c r="G84" i="7"/>
  <c r="H84" i="7"/>
  <c r="G83" i="7"/>
  <c r="H83" i="7"/>
  <c r="G82" i="7"/>
  <c r="H82" i="7"/>
  <c r="G81" i="7"/>
  <c r="H81" i="7"/>
  <c r="G80" i="7"/>
  <c r="H80" i="7"/>
  <c r="G79" i="7"/>
  <c r="H79" i="7"/>
  <c r="G78" i="7"/>
  <c r="H78" i="7"/>
  <c r="G77" i="7"/>
  <c r="H77" i="7"/>
  <c r="G76" i="7"/>
  <c r="H76" i="7"/>
  <c r="G75" i="7"/>
  <c r="H75" i="7"/>
  <c r="G74" i="7"/>
  <c r="H74" i="7"/>
  <c r="G73" i="7"/>
  <c r="H73" i="7"/>
  <c r="G72" i="7"/>
  <c r="H72" i="7"/>
  <c r="G71" i="7"/>
  <c r="H71" i="7"/>
  <c r="G70" i="7"/>
  <c r="H70" i="7"/>
  <c r="G64" i="7"/>
  <c r="H64" i="7"/>
  <c r="G63" i="7"/>
  <c r="H63" i="7"/>
  <c r="G62" i="7"/>
  <c r="H62" i="7"/>
  <c r="G61" i="7"/>
  <c r="H61" i="7"/>
  <c r="G60" i="7"/>
  <c r="H60" i="7"/>
  <c r="G59" i="7"/>
  <c r="H59" i="7"/>
  <c r="G58" i="7"/>
  <c r="H58" i="7"/>
  <c r="G57" i="7"/>
  <c r="H57" i="7"/>
  <c r="G56" i="7"/>
  <c r="H56" i="7"/>
  <c r="G55" i="7"/>
  <c r="H55" i="7"/>
  <c r="G54" i="7"/>
  <c r="H54" i="7"/>
  <c r="G53" i="7"/>
  <c r="H53" i="7"/>
  <c r="G46" i="7"/>
  <c r="H46" i="7"/>
  <c r="G45" i="7"/>
  <c r="H45" i="7"/>
  <c r="G44" i="7"/>
  <c r="H44" i="7"/>
  <c r="G43" i="7"/>
  <c r="H43" i="7"/>
  <c r="G42" i="7"/>
  <c r="H42" i="7"/>
  <c r="G41" i="7"/>
  <c r="H41" i="7"/>
  <c r="G40" i="7"/>
  <c r="H40" i="7"/>
  <c r="G39" i="7"/>
  <c r="H39" i="7"/>
  <c r="G38" i="7"/>
  <c r="H38" i="7"/>
  <c r="G37" i="7"/>
  <c r="H37" i="7"/>
  <c r="G36" i="7"/>
  <c r="H36" i="7"/>
  <c r="G35" i="7"/>
  <c r="H35" i="7"/>
  <c r="G34" i="7"/>
  <c r="H34" i="7"/>
  <c r="G33" i="7"/>
  <c r="H33" i="7"/>
  <c r="G32" i="7"/>
  <c r="H32" i="7"/>
  <c r="G31" i="7"/>
  <c r="H31" i="7"/>
  <c r="G30" i="7"/>
  <c r="H30" i="7"/>
  <c r="G29" i="7"/>
  <c r="H29" i="7"/>
  <c r="G28" i="7"/>
  <c r="H28" i="7"/>
  <c r="G27" i="7"/>
  <c r="H27" i="7"/>
  <c r="G26" i="7"/>
  <c r="H26" i="7"/>
  <c r="G25" i="7"/>
  <c r="H25" i="7"/>
  <c r="G24" i="7"/>
  <c r="H24" i="7"/>
  <c r="G23" i="7"/>
  <c r="H23" i="7"/>
  <c r="G22" i="7"/>
  <c r="H22" i="7"/>
  <c r="G21" i="7"/>
  <c r="H21" i="7"/>
  <c r="G20" i="7"/>
  <c r="H20" i="7"/>
  <c r="G19" i="7"/>
  <c r="H19" i="7"/>
  <c r="G18" i="7"/>
  <c r="H18" i="7"/>
  <c r="G17" i="7"/>
  <c r="H17" i="7"/>
  <c r="G16" i="7"/>
  <c r="H16" i="7"/>
  <c r="G15" i="7"/>
  <c r="H15" i="7"/>
  <c r="G14" i="7"/>
  <c r="H14" i="7"/>
  <c r="G13" i="7"/>
  <c r="H13" i="7"/>
  <c r="G12" i="7"/>
  <c r="H12" i="7"/>
  <c r="G11" i="7"/>
  <c r="H11" i="7"/>
  <c r="G10" i="7"/>
  <c r="H10" i="7"/>
  <c r="G9" i="7"/>
  <c r="H9" i="7"/>
  <c r="G8" i="7"/>
  <c r="H8" i="7"/>
  <c r="G7" i="7"/>
  <c r="H7" i="7"/>
  <c r="G6" i="7"/>
  <c r="H6" i="7"/>
  <c r="G5" i="7"/>
  <c r="H5" i="7"/>
  <c r="G4" i="7"/>
  <c r="H4" i="7"/>
  <c r="G3" i="7"/>
  <c r="H3" i="7"/>
  <c r="D86" i="7"/>
  <c r="D85" i="7"/>
  <c r="D84" i="7"/>
  <c r="D83" i="7"/>
  <c r="D82" i="7"/>
  <c r="D81" i="7"/>
  <c r="D80" i="7"/>
  <c r="D79" i="7"/>
  <c r="D78" i="7"/>
  <c r="D77" i="7"/>
  <c r="D76" i="7"/>
  <c r="D75" i="7"/>
  <c r="D74" i="7"/>
  <c r="D73" i="7"/>
  <c r="D72" i="7"/>
  <c r="D71" i="7"/>
  <c r="D70" i="7"/>
  <c r="D64" i="7"/>
  <c r="D63" i="7"/>
  <c r="D62" i="7"/>
  <c r="D61" i="7"/>
  <c r="D60" i="7"/>
  <c r="D59" i="7"/>
  <c r="D58" i="7"/>
  <c r="D57" i="7"/>
  <c r="D56" i="7"/>
  <c r="D55" i="7"/>
  <c r="D54" i="7"/>
  <c r="D53"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101" i="1"/>
  <c r="C100" i="1"/>
  <c r="C99" i="1"/>
  <c r="C98" i="1"/>
  <c r="C97" i="1"/>
  <c r="C96" i="1"/>
  <c r="C92" i="1"/>
  <c r="C91" i="1"/>
  <c r="C90" i="1"/>
  <c r="C89" i="1"/>
  <c r="C88" i="1"/>
  <c r="C83" i="1"/>
  <c r="C82" i="1"/>
  <c r="C81" i="1"/>
  <c r="C80" i="1"/>
  <c r="C79" i="1"/>
  <c r="C78" i="1"/>
  <c r="C74" i="1"/>
  <c r="C73" i="1"/>
  <c r="C72" i="1"/>
  <c r="C71" i="1"/>
  <c r="C70" i="1"/>
  <c r="C69" i="1"/>
  <c r="C65" i="1"/>
  <c r="C64" i="1"/>
  <c r="C63" i="1"/>
  <c r="C62" i="1"/>
  <c r="C61" i="1"/>
  <c r="C60" i="1"/>
  <c r="C59" i="1"/>
  <c r="C58" i="1"/>
  <c r="C57" i="1"/>
  <c r="C56" i="1"/>
  <c r="C55" i="1"/>
  <c r="C51" i="1"/>
  <c r="C50" i="1"/>
  <c r="C49" i="1"/>
  <c r="C48" i="1"/>
  <c r="C47" i="1"/>
  <c r="C46" i="1"/>
  <c r="C42" i="1"/>
  <c r="C41" i="1"/>
  <c r="C40" i="1"/>
  <c r="C39" i="1"/>
  <c r="C38" i="1"/>
  <c r="C37" i="1"/>
  <c r="G2" i="7"/>
  <c r="H2" i="7"/>
  <c r="V18" i="2"/>
  <c r="V23" i="2"/>
  <c r="V24" i="2"/>
  <c r="V88" i="1"/>
  <c r="V89" i="1"/>
  <c r="V90" i="1"/>
  <c r="V91" i="1"/>
  <c r="V92" i="1"/>
  <c r="V93" i="1"/>
  <c r="E9" i="4"/>
  <c r="E10" i="4"/>
  <c r="E11" i="4"/>
  <c r="E12" i="4"/>
  <c r="E14" i="4"/>
  <c r="V21" i="4"/>
  <c r="V22" i="4"/>
  <c r="V23" i="4"/>
  <c r="V25" i="4"/>
  <c r="V24" i="4"/>
  <c r="AA9" i="4"/>
  <c r="AA10" i="4"/>
  <c r="AA11" i="4"/>
  <c r="AA12" i="4"/>
  <c r="AA13" i="4"/>
  <c r="AA14" i="4"/>
  <c r="AA4" i="4"/>
  <c r="AA6" i="4"/>
  <c r="V4" i="4"/>
  <c r="V6" i="4"/>
  <c r="AA17" i="2"/>
  <c r="AA18" i="2"/>
  <c r="AA19" i="2"/>
  <c r="AA20" i="2"/>
  <c r="AA21" i="2"/>
  <c r="AA23" i="2"/>
  <c r="AA24" i="2"/>
  <c r="V11" i="2"/>
  <c r="V12" i="2"/>
  <c r="V13" i="2"/>
  <c r="V15" i="2"/>
  <c r="V14" i="2"/>
  <c r="AA8" i="2"/>
  <c r="AA9" i="2"/>
  <c r="AA10" i="2"/>
  <c r="AA11" i="2"/>
  <c r="AA12" i="2"/>
  <c r="AA13" i="2"/>
  <c r="AA15" i="2"/>
  <c r="AA14" i="2"/>
  <c r="E38" i="1"/>
  <c r="E39" i="1"/>
  <c r="E40" i="1"/>
  <c r="E41" i="1"/>
  <c r="E42" i="1"/>
  <c r="E43" i="1"/>
  <c r="E5" i="1"/>
  <c r="E6" i="1"/>
  <c r="E7" i="1"/>
  <c r="E8" i="1"/>
  <c r="E9" i="1"/>
  <c r="E10" i="1"/>
  <c r="E11" i="1"/>
  <c r="E12" i="1"/>
  <c r="E13" i="1"/>
  <c r="E14" i="1"/>
  <c r="V6" i="1"/>
  <c r="V7" i="1"/>
  <c r="V8" i="1"/>
  <c r="V9" i="1"/>
  <c r="V10" i="1"/>
  <c r="V5" i="1"/>
  <c r="F39" i="3"/>
  <c r="F20" i="3"/>
  <c r="E31" i="2"/>
  <c r="E30" i="2"/>
  <c r="E29" i="2"/>
  <c r="E28" i="2"/>
  <c r="E27" i="2"/>
  <c r="E26" i="2"/>
  <c r="E21" i="2"/>
  <c r="E20" i="2"/>
  <c r="E19" i="2"/>
  <c r="E18" i="2"/>
  <c r="E17" i="2"/>
  <c r="E13" i="2"/>
  <c r="E12" i="2"/>
  <c r="E11" i="2"/>
  <c r="E10" i="2"/>
  <c r="E9" i="2"/>
  <c r="E8" i="2"/>
  <c r="E61" i="1"/>
  <c r="E55" i="1"/>
  <c r="E56" i="1"/>
  <c r="E57" i="1"/>
  <c r="E58" i="1"/>
  <c r="E59" i="1"/>
  <c r="E60" i="1"/>
  <c r="E62" i="1"/>
  <c r="E63" i="1"/>
  <c r="E64" i="1"/>
  <c r="E65" i="1"/>
  <c r="E66" i="1"/>
  <c r="E48" i="1"/>
  <c r="E18" i="1"/>
  <c r="E17" i="1"/>
  <c r="AA15" i="4"/>
  <c r="BH107" i="1"/>
  <c r="BH108" i="1"/>
  <c r="BH109" i="1"/>
  <c r="BH110" i="1"/>
  <c r="BH111" i="1"/>
  <c r="BH112" i="1"/>
  <c r="BH113" i="1"/>
  <c r="BH114" i="1"/>
  <c r="BH115" i="1"/>
  <c r="BH116" i="1"/>
  <c r="BH117" i="1"/>
  <c r="BH118" i="1"/>
  <c r="BH119" i="1"/>
  <c r="BH120" i="1"/>
  <c r="BH121" i="1"/>
  <c r="BH122" i="1"/>
  <c r="E101" i="1"/>
  <c r="E100" i="1"/>
  <c r="E99" i="1"/>
  <c r="E97" i="1"/>
  <c r="E96" i="1"/>
  <c r="E92" i="1"/>
  <c r="E91" i="1"/>
  <c r="E90" i="1"/>
  <c r="E89" i="1"/>
  <c r="E88" i="1"/>
  <c r="E83" i="1"/>
  <c r="E82" i="1"/>
  <c r="E81" i="1"/>
  <c r="E80" i="1"/>
  <c r="E79" i="1"/>
  <c r="E78" i="1"/>
  <c r="E74" i="1"/>
  <c r="E73" i="1"/>
  <c r="E72" i="1"/>
  <c r="E71" i="1"/>
  <c r="E70" i="1"/>
  <c r="E69" i="1"/>
  <c r="E51" i="1"/>
  <c r="E50" i="1"/>
  <c r="E49" i="1"/>
  <c r="E47" i="1"/>
  <c r="E46" i="1"/>
  <c r="E24" i="1"/>
  <c r="E23" i="1"/>
  <c r="E22" i="1"/>
  <c r="E33" i="1"/>
  <c r="E32" i="1"/>
  <c r="E31" i="1"/>
  <c r="E30" i="1"/>
  <c r="E29" i="1"/>
  <c r="E28" i="1"/>
  <c r="E21" i="1"/>
  <c r="E20" i="1"/>
  <c r="E19" i="1"/>
  <c r="E23" i="4"/>
  <c r="E22" i="4"/>
  <c r="E21" i="4"/>
  <c r="E5" i="4"/>
  <c r="E4" i="4"/>
  <c r="E20" i="4"/>
  <c r="E19" i="4"/>
  <c r="E18" i="4"/>
  <c r="E17" i="4"/>
  <c r="E24" i="4"/>
  <c r="E6" i="4"/>
  <c r="V7" i="4"/>
  <c r="AA7" i="4"/>
  <c r="V13" i="4"/>
  <c r="AA23" i="4"/>
  <c r="AA22" i="4"/>
  <c r="AA21" i="4"/>
  <c r="AA20" i="4"/>
  <c r="AA19" i="4"/>
  <c r="AA18" i="4"/>
  <c r="AA17" i="4"/>
  <c r="AA24" i="4"/>
  <c r="AA25" i="4"/>
  <c r="V14" i="4"/>
  <c r="V15" i="4"/>
  <c r="AB30" i="3"/>
  <c r="W30" i="3"/>
  <c r="F30" i="3"/>
  <c r="F98" i="3"/>
  <c r="F97" i="3"/>
  <c r="F96" i="3"/>
  <c r="F67" i="3"/>
  <c r="F66" i="3"/>
  <c r="F65" i="3"/>
  <c r="F64" i="3"/>
  <c r="AB66" i="3"/>
  <c r="AB67" i="3"/>
  <c r="AB64" i="3"/>
  <c r="AB65" i="3"/>
  <c r="W64" i="3"/>
  <c r="W65" i="3"/>
  <c r="W66" i="3"/>
  <c r="W67" i="3"/>
  <c r="AB53" i="3"/>
  <c r="AB54" i="3"/>
  <c r="AB55" i="3"/>
  <c r="W53" i="3"/>
  <c r="W54" i="3"/>
  <c r="W55" i="3"/>
  <c r="F91" i="3"/>
  <c r="F55" i="3"/>
  <c r="F54" i="3"/>
  <c r="F53" i="3"/>
  <c r="F52" i="3"/>
  <c r="F29" i="3"/>
  <c r="F28" i="3"/>
  <c r="F27" i="3"/>
  <c r="F26" i="3"/>
  <c r="F46" i="3"/>
  <c r="F45" i="3"/>
  <c r="F44" i="3"/>
  <c r="F63" i="3"/>
  <c r="F62" i="3"/>
  <c r="F61" i="3"/>
  <c r="F73" i="3"/>
  <c r="F72" i="3"/>
  <c r="F71" i="3"/>
  <c r="F104" i="3"/>
  <c r="F103" i="3"/>
  <c r="F102" i="3"/>
  <c r="AB104" i="3"/>
  <c r="W104" i="3"/>
  <c r="AB103" i="3"/>
  <c r="W103" i="3"/>
  <c r="AB102" i="3"/>
  <c r="AB73" i="3"/>
  <c r="W73" i="3"/>
  <c r="AB72" i="3"/>
  <c r="W72" i="3"/>
  <c r="AB71" i="3"/>
  <c r="W71" i="3"/>
  <c r="F38" i="3"/>
  <c r="F37" i="3"/>
  <c r="F36" i="3"/>
  <c r="F35" i="3"/>
  <c r="F34" i="3"/>
  <c r="AB39" i="3"/>
  <c r="W39" i="3"/>
  <c r="AB38" i="3"/>
  <c r="W38" i="3"/>
  <c r="AB37" i="3"/>
  <c r="W37" i="3"/>
  <c r="AB36" i="3"/>
  <c r="W36" i="3"/>
  <c r="AB35" i="3"/>
  <c r="W35" i="3"/>
  <c r="AB34" i="3"/>
  <c r="W34" i="3"/>
  <c r="F11" i="3"/>
  <c r="AB11" i="3"/>
  <c r="W11" i="3"/>
  <c r="F43" i="3"/>
  <c r="F81" i="3"/>
  <c r="F80" i="3"/>
  <c r="F79" i="3"/>
  <c r="F78" i="3"/>
  <c r="F77" i="3"/>
  <c r="F10" i="3"/>
  <c r="F9" i="3"/>
  <c r="F8" i="3"/>
  <c r="F19" i="3"/>
  <c r="F18" i="3"/>
  <c r="F51" i="3"/>
  <c r="F50" i="3"/>
  <c r="F90" i="3"/>
  <c r="F89" i="3"/>
  <c r="F95" i="3"/>
  <c r="F99" i="3"/>
  <c r="F60" i="3"/>
  <c r="F59" i="3"/>
  <c r="F24" i="3"/>
  <c r="F25" i="3"/>
  <c r="F86" i="3"/>
  <c r="F17" i="3"/>
  <c r="F16" i="3"/>
  <c r="F15" i="3"/>
  <c r="F6" i="3"/>
  <c r="F5" i="3"/>
  <c r="F7" i="3"/>
  <c r="F88" i="3"/>
  <c r="F87" i="3"/>
  <c r="AB63" i="3"/>
  <c r="AB62" i="3"/>
  <c r="AB61" i="3"/>
  <c r="W61" i="3"/>
  <c r="AB60" i="3"/>
  <c r="W60" i="3"/>
  <c r="AB59" i="3"/>
  <c r="W59" i="3"/>
  <c r="AB52" i="3"/>
  <c r="W52" i="3"/>
  <c r="AB51" i="3"/>
  <c r="W51" i="3"/>
  <c r="AB50" i="3"/>
  <c r="W50" i="3"/>
  <c r="AB46" i="3"/>
  <c r="W46" i="3"/>
  <c r="AB45" i="3"/>
  <c r="W45" i="3"/>
  <c r="AB44" i="3"/>
  <c r="W44" i="3"/>
  <c r="AB43" i="3"/>
  <c r="W43" i="3"/>
  <c r="W77" i="3"/>
  <c r="AB77" i="3"/>
  <c r="W78" i="3"/>
  <c r="AB78" i="3"/>
  <c r="W79" i="3"/>
  <c r="AB79" i="3"/>
  <c r="W80" i="3"/>
  <c r="AB80" i="3"/>
  <c r="W81" i="3"/>
  <c r="AB81" i="3"/>
  <c r="W82" i="3"/>
  <c r="AB82" i="3"/>
  <c r="W86" i="3"/>
  <c r="AB86" i="3"/>
  <c r="W87" i="3"/>
  <c r="AB87" i="3"/>
  <c r="W88" i="3"/>
  <c r="AB88" i="3"/>
  <c r="W89" i="3"/>
  <c r="AB89" i="3"/>
  <c r="W90" i="3"/>
  <c r="AB90" i="3"/>
  <c r="W91" i="3"/>
  <c r="AB91" i="3"/>
  <c r="W95" i="3"/>
  <c r="AB95" i="3"/>
  <c r="W96" i="3"/>
  <c r="AB96" i="3"/>
  <c r="W97" i="3"/>
  <c r="AB97" i="3"/>
  <c r="W98" i="3"/>
  <c r="AB98" i="3"/>
  <c r="AB29" i="3"/>
  <c r="W29" i="3"/>
  <c r="AB28" i="3"/>
  <c r="W28" i="3"/>
  <c r="AB27" i="3"/>
  <c r="W27" i="3"/>
  <c r="AB26" i="3"/>
  <c r="W26" i="3"/>
  <c r="AB25" i="3"/>
  <c r="W25" i="3"/>
  <c r="AB24" i="3"/>
  <c r="W24" i="3"/>
  <c r="AB20" i="3"/>
  <c r="W20" i="3"/>
  <c r="AB18" i="3"/>
  <c r="W18" i="3"/>
  <c r="AB17" i="3"/>
  <c r="W17" i="3"/>
  <c r="AB16" i="3"/>
  <c r="W16" i="3"/>
  <c r="AB15" i="3"/>
  <c r="W15" i="3"/>
  <c r="AB10" i="3"/>
  <c r="W10" i="3"/>
  <c r="AB9" i="3"/>
  <c r="W9" i="3"/>
  <c r="AB8" i="3"/>
  <c r="W8" i="3"/>
  <c r="AB7" i="3"/>
  <c r="W7" i="3"/>
  <c r="AB6" i="3"/>
  <c r="W6" i="3"/>
  <c r="AB5" i="3"/>
  <c r="W5" i="3"/>
  <c r="W105" i="3"/>
  <c r="W21" i="3"/>
  <c r="W74" i="3"/>
  <c r="F47" i="3"/>
  <c r="W32" i="3"/>
  <c r="W31" i="3"/>
  <c r="AB32" i="3"/>
  <c r="AB31" i="3"/>
  <c r="F56" i="3"/>
  <c r="F40" i="3"/>
  <c r="F74" i="3"/>
  <c r="W12" i="3"/>
  <c r="AB13" i="3"/>
  <c r="F31" i="3"/>
  <c r="AB41" i="3"/>
  <c r="AB75" i="3"/>
  <c r="W106" i="3"/>
  <c r="AB106" i="3"/>
  <c r="F105" i="3"/>
  <c r="AB105" i="3"/>
  <c r="W75" i="3"/>
  <c r="AB74" i="3"/>
  <c r="W13" i="3"/>
  <c r="AB12" i="3"/>
  <c r="AB100" i="3"/>
  <c r="W41" i="3"/>
  <c r="W40" i="3"/>
  <c r="AB40" i="3"/>
  <c r="W83" i="3"/>
  <c r="F12" i="3"/>
  <c r="W47" i="3"/>
  <c r="AB47" i="3"/>
  <c r="AB48" i="3"/>
  <c r="F92" i="3"/>
  <c r="F68" i="3"/>
  <c r="AB69" i="3"/>
  <c r="W69" i="3"/>
  <c r="W68" i="3"/>
  <c r="AB57" i="3"/>
  <c r="AB56" i="3"/>
  <c r="W57" i="3"/>
  <c r="W56" i="3"/>
  <c r="F21" i="3"/>
  <c r="AB68" i="3"/>
  <c r="W48" i="3"/>
  <c r="W100" i="3"/>
  <c r="AB99" i="3"/>
  <c r="W99" i="3"/>
  <c r="W93" i="3"/>
  <c r="AB92" i="3"/>
  <c r="W84" i="3"/>
  <c r="AB84" i="3"/>
  <c r="AB93" i="3"/>
  <c r="AB21" i="3"/>
  <c r="W22" i="3"/>
  <c r="W92" i="3"/>
  <c r="AB83" i="3"/>
  <c r="AB22" i="3"/>
  <c r="BC120" i="1"/>
  <c r="AX120" i="1"/>
  <c r="AS120" i="1"/>
  <c r="BC119" i="1"/>
  <c r="AX119" i="1"/>
  <c r="AS119" i="1"/>
  <c r="BC118" i="1"/>
  <c r="AX118" i="1"/>
  <c r="BC117" i="1"/>
  <c r="AX117" i="1"/>
  <c r="BC116" i="1"/>
  <c r="AX116" i="1"/>
  <c r="BC115" i="1"/>
  <c r="AX115" i="1"/>
  <c r="BC114" i="1"/>
  <c r="AX114" i="1"/>
  <c r="BC113" i="1"/>
  <c r="AX113" i="1"/>
  <c r="E102" i="1"/>
  <c r="AA101" i="1"/>
  <c r="V101" i="1"/>
  <c r="AA100" i="1"/>
  <c r="V100" i="1"/>
  <c r="AA99" i="1"/>
  <c r="V99" i="1"/>
  <c r="AA98" i="1"/>
  <c r="V98" i="1"/>
  <c r="AA97" i="1"/>
  <c r="V97" i="1"/>
  <c r="AA96" i="1"/>
  <c r="V96" i="1"/>
  <c r="AA102" i="1"/>
  <c r="V103" i="1"/>
  <c r="AA103" i="1"/>
  <c r="V102" i="1"/>
  <c r="AA13" i="1"/>
  <c r="V13" i="1"/>
  <c r="AA12" i="1"/>
  <c r="V12" i="1"/>
  <c r="AA11" i="1"/>
  <c r="V11" i="1"/>
  <c r="AN120" i="1"/>
  <c r="AI120" i="1"/>
  <c r="AD120" i="1"/>
  <c r="AN119" i="1"/>
  <c r="AI119" i="1"/>
  <c r="AD119" i="1"/>
  <c r="AS118" i="1"/>
  <c r="AN118" i="1"/>
  <c r="AS117" i="1"/>
  <c r="AN117" i="1"/>
  <c r="AS116" i="1"/>
  <c r="AN116" i="1"/>
  <c r="AS115" i="1"/>
  <c r="AN115" i="1"/>
  <c r="AS114" i="1"/>
  <c r="AN114" i="1"/>
  <c r="AS113" i="1"/>
  <c r="AN113" i="1"/>
  <c r="AA31" i="2"/>
  <c r="V31" i="2"/>
  <c r="AA30" i="2"/>
  <c r="V30" i="2"/>
  <c r="AA29" i="2"/>
  <c r="V29" i="2"/>
  <c r="AA28" i="2"/>
  <c r="V28" i="2"/>
  <c r="AA27" i="2"/>
  <c r="V27" i="2"/>
  <c r="AA26" i="2"/>
  <c r="V26" i="2"/>
  <c r="AA22" i="2"/>
  <c r="AA7" i="2"/>
  <c r="V7" i="2"/>
  <c r="AA6" i="2"/>
  <c r="V6" i="2"/>
  <c r="AA5" i="2"/>
  <c r="V5" i="2"/>
  <c r="E121" i="1"/>
  <c r="Y120" i="1"/>
  <c r="T120" i="1"/>
  <c r="O120" i="1"/>
  <c r="Y119" i="1"/>
  <c r="T119" i="1"/>
  <c r="O119" i="1"/>
  <c r="AI118" i="1"/>
  <c r="AD118" i="1"/>
  <c r="Y118" i="1"/>
  <c r="T118" i="1"/>
  <c r="O118" i="1"/>
  <c r="AI117" i="1"/>
  <c r="AD117" i="1"/>
  <c r="Y117" i="1"/>
  <c r="T117" i="1"/>
  <c r="O117" i="1"/>
  <c r="AI116" i="1"/>
  <c r="AD116" i="1"/>
  <c r="Y116" i="1"/>
  <c r="T116" i="1"/>
  <c r="O116" i="1"/>
  <c r="AI115" i="1"/>
  <c r="AD115" i="1"/>
  <c r="Y115" i="1"/>
  <c r="T115" i="1"/>
  <c r="O115" i="1"/>
  <c r="AI114" i="1"/>
  <c r="AD114" i="1"/>
  <c r="Y114" i="1"/>
  <c r="T114" i="1"/>
  <c r="O114" i="1"/>
  <c r="AI113" i="1"/>
  <c r="AD113" i="1"/>
  <c r="Y113" i="1"/>
  <c r="T113" i="1"/>
  <c r="O113" i="1"/>
  <c r="BC112" i="1"/>
  <c r="AX112" i="1"/>
  <c r="AS112" i="1"/>
  <c r="AN112" i="1"/>
  <c r="AI112" i="1"/>
  <c r="AD112" i="1"/>
  <c r="Y112" i="1"/>
  <c r="T112" i="1"/>
  <c r="O112" i="1"/>
  <c r="BC111" i="1"/>
  <c r="AX111" i="1"/>
  <c r="AS111" i="1"/>
  <c r="AN111" i="1"/>
  <c r="AI111" i="1"/>
  <c r="AD111" i="1"/>
  <c r="Y111" i="1"/>
  <c r="T111" i="1"/>
  <c r="O111" i="1"/>
  <c r="BC110" i="1"/>
  <c r="AX110" i="1"/>
  <c r="AS110" i="1"/>
  <c r="AN110" i="1"/>
  <c r="AI110" i="1"/>
  <c r="AD110" i="1"/>
  <c r="Y110" i="1"/>
  <c r="T110" i="1"/>
  <c r="O110" i="1"/>
  <c r="BC109" i="1"/>
  <c r="AX109" i="1"/>
  <c r="AS109" i="1"/>
  <c r="AN109" i="1"/>
  <c r="AI109" i="1"/>
  <c r="AD109" i="1"/>
  <c r="Y109" i="1"/>
  <c r="T109" i="1"/>
  <c r="O109" i="1"/>
  <c r="BC108" i="1"/>
  <c r="AX108" i="1"/>
  <c r="AS108" i="1"/>
  <c r="AN108" i="1"/>
  <c r="AI108" i="1"/>
  <c r="AD108" i="1"/>
  <c r="Y108" i="1"/>
  <c r="T108" i="1"/>
  <c r="O108" i="1"/>
  <c r="BC107" i="1"/>
  <c r="AX107" i="1"/>
  <c r="AS107" i="1"/>
  <c r="AN107" i="1"/>
  <c r="AI107" i="1"/>
  <c r="AD107" i="1"/>
  <c r="Y107" i="1"/>
  <c r="T107" i="1"/>
  <c r="O107" i="1"/>
  <c r="AA92" i="1"/>
  <c r="AA91" i="1"/>
  <c r="AA90" i="1"/>
  <c r="AA89" i="1"/>
  <c r="AA88" i="1"/>
  <c r="AA87" i="1"/>
  <c r="V87" i="1"/>
  <c r="AA83" i="1"/>
  <c r="V83" i="1"/>
  <c r="AA82" i="1"/>
  <c r="V82" i="1"/>
  <c r="AA81" i="1"/>
  <c r="V81" i="1"/>
  <c r="AA80" i="1"/>
  <c r="V80" i="1"/>
  <c r="AA79" i="1"/>
  <c r="V79" i="1"/>
  <c r="AA78" i="1"/>
  <c r="V78" i="1"/>
  <c r="E84" i="1"/>
  <c r="AA74" i="1"/>
  <c r="V74" i="1"/>
  <c r="AA73" i="1"/>
  <c r="V73" i="1"/>
  <c r="AA72" i="1"/>
  <c r="V72" i="1"/>
  <c r="AA71" i="1"/>
  <c r="V71" i="1"/>
  <c r="AA70" i="1"/>
  <c r="V70" i="1"/>
  <c r="AA69" i="1"/>
  <c r="V69" i="1"/>
  <c r="AA65" i="1"/>
  <c r="V65" i="1"/>
  <c r="AA64" i="1"/>
  <c r="V64" i="1"/>
  <c r="AA63" i="1"/>
  <c r="V63" i="1"/>
  <c r="AA62" i="1"/>
  <c r="V62" i="1"/>
  <c r="AA61" i="1"/>
  <c r="V61" i="1"/>
  <c r="AA60" i="1"/>
  <c r="V60" i="1"/>
  <c r="AA59" i="1"/>
  <c r="V59" i="1"/>
  <c r="AA58" i="1"/>
  <c r="V58" i="1"/>
  <c r="AA57" i="1"/>
  <c r="V57" i="1"/>
  <c r="AA56" i="1"/>
  <c r="V56" i="1"/>
  <c r="AA55" i="1"/>
  <c r="V55" i="1"/>
  <c r="AA51" i="1"/>
  <c r="V51" i="1"/>
  <c r="AA50" i="1"/>
  <c r="V50" i="1"/>
  <c r="AA49" i="1"/>
  <c r="V49" i="1"/>
  <c r="AA48" i="1"/>
  <c r="V48" i="1"/>
  <c r="AA47" i="1"/>
  <c r="V47" i="1"/>
  <c r="AA46" i="1"/>
  <c r="V46" i="1"/>
  <c r="AA42" i="1"/>
  <c r="V42" i="1"/>
  <c r="AA41" i="1"/>
  <c r="V41" i="1"/>
  <c r="AA40" i="1"/>
  <c r="V40" i="1"/>
  <c r="AA39" i="1"/>
  <c r="V39" i="1"/>
  <c r="AA38" i="1"/>
  <c r="V38" i="1"/>
  <c r="AA37" i="1"/>
  <c r="V37" i="1"/>
  <c r="AA33" i="1"/>
  <c r="V33" i="1"/>
  <c r="AA32" i="1"/>
  <c r="V32" i="1"/>
  <c r="AA31" i="1"/>
  <c r="V31" i="1"/>
  <c r="AA30" i="1"/>
  <c r="V30" i="1"/>
  <c r="AA29" i="1"/>
  <c r="V29" i="1"/>
  <c r="E34" i="1"/>
  <c r="AA28" i="1"/>
  <c r="V28" i="1"/>
  <c r="AA24" i="1"/>
  <c r="V24" i="1"/>
  <c r="AA23" i="1"/>
  <c r="V23" i="1"/>
  <c r="AA22" i="1"/>
  <c r="V22" i="1"/>
  <c r="AA21" i="1"/>
  <c r="V21" i="1"/>
  <c r="AA20" i="1"/>
  <c r="V20" i="1"/>
  <c r="AA19" i="1"/>
  <c r="V19" i="1"/>
  <c r="AA18" i="1"/>
  <c r="V18" i="1"/>
  <c r="AA17" i="1"/>
  <c r="V17" i="1"/>
  <c r="AA10" i="1"/>
  <c r="AA9" i="1"/>
  <c r="AA8" i="1"/>
  <c r="AA7" i="1"/>
  <c r="AA6" i="1"/>
  <c r="AA5" i="1"/>
  <c r="V33" i="2"/>
  <c r="AA33" i="2"/>
  <c r="AA14" i="1"/>
  <c r="O122" i="1"/>
  <c r="V52" i="1"/>
  <c r="V75" i="1"/>
  <c r="AX121" i="1"/>
  <c r="V14" i="1"/>
  <c r="AA53" i="1"/>
  <c r="AA85" i="1"/>
  <c r="Y121" i="1"/>
  <c r="V84" i="1"/>
  <c r="AA15" i="1"/>
  <c r="V35" i="1"/>
  <c r="V15" i="1"/>
  <c r="AA94" i="1"/>
  <c r="V34" i="1"/>
  <c r="V44" i="1"/>
  <c r="V66" i="1"/>
  <c r="E25" i="1"/>
  <c r="V26" i="1"/>
  <c r="AA43" i="1"/>
  <c r="Y122" i="1"/>
  <c r="V53" i="1"/>
  <c r="AA35" i="1"/>
  <c r="AA66" i="1"/>
  <c r="AA84" i="1"/>
  <c r="AA26" i="1"/>
  <c r="V43" i="1"/>
  <c r="AA67" i="1"/>
  <c r="AA76" i="1"/>
  <c r="T122" i="1"/>
  <c r="AX122" i="1"/>
  <c r="AA75" i="1"/>
  <c r="V67" i="1"/>
  <c r="V94" i="1"/>
  <c r="AA44" i="1"/>
  <c r="E93" i="1"/>
  <c r="E52" i="1"/>
  <c r="E75" i="1"/>
  <c r="V76" i="1"/>
  <c r="O121" i="1"/>
  <c r="BC121" i="1"/>
  <c r="BC122" i="1"/>
  <c r="V25" i="1"/>
  <c r="AI121" i="1"/>
  <c r="AD121" i="1"/>
  <c r="AD122" i="1"/>
  <c r="AS121" i="1"/>
  <c r="AS122" i="1"/>
  <c r="AN121" i="1"/>
  <c r="AN122" i="1"/>
  <c r="T121" i="1"/>
  <c r="AA52" i="1"/>
  <c r="AI122" i="1"/>
  <c r="AA32" i="2"/>
  <c r="V32" i="2"/>
  <c r="AA93" i="1"/>
  <c r="V85" i="1"/>
  <c r="AA25" i="1"/>
  <c r="AA34" i="1"/>
  <c r="F83" i="3"/>
</calcChain>
</file>

<file path=xl/sharedStrings.xml><?xml version="1.0" encoding="utf-8"?>
<sst xmlns="http://schemas.openxmlformats.org/spreadsheetml/2006/main" count="1746" uniqueCount="286">
  <si>
    <t>Bemærkninger</t>
  </si>
  <si>
    <t>Date of Rehydration</t>
  </si>
  <si>
    <t>Desiccation rates(s)</t>
  </si>
  <si>
    <t>5 min</t>
  </si>
  <si>
    <t>30 min</t>
  </si>
  <si>
    <t>2 h</t>
  </si>
  <si>
    <t>24 h</t>
  </si>
  <si>
    <t>48 h</t>
  </si>
  <si>
    <t>.</t>
  </si>
  <si>
    <t>A+</t>
  </si>
  <si>
    <t>A</t>
  </si>
  <si>
    <t>I</t>
  </si>
  <si>
    <t>D</t>
  </si>
  <si>
    <t>sum</t>
  </si>
  <si>
    <t>Sum</t>
  </si>
  <si>
    <t>Filterpaper SW</t>
  </si>
  <si>
    <t>2h</t>
  </si>
  <si>
    <t>TH-FP-2-001</t>
  </si>
  <si>
    <t>TH-FP-2-002</t>
  </si>
  <si>
    <t>TH-FP-2-003</t>
  </si>
  <si>
    <t>TH-FP-2-004</t>
  </si>
  <si>
    <t>TH-FP-2-005</t>
  </si>
  <si>
    <t>TH-FP-2-006</t>
  </si>
  <si>
    <t>Average</t>
  </si>
  <si>
    <t>24h</t>
  </si>
  <si>
    <t>TH-FP-24-001</t>
  </si>
  <si>
    <t>TH-FP-24-002</t>
  </si>
  <si>
    <t>TH-FP-24-003</t>
  </si>
  <si>
    <t>TH-FP-24-004</t>
  </si>
  <si>
    <t>TH-FP-24-005</t>
  </si>
  <si>
    <t>TH-FP-24-006</t>
  </si>
  <si>
    <t>TH-FP-24-007</t>
  </si>
  <si>
    <t>TH-FP-24-008</t>
  </si>
  <si>
    <t>48h</t>
  </si>
  <si>
    <t>TH-FP-48-001</t>
  </si>
  <si>
    <t>TH-FP-48-002</t>
  </si>
  <si>
    <t>TH-FP-48-003</t>
  </si>
  <si>
    <t>TH-FP-48-004</t>
  </si>
  <si>
    <t>TH-FP-48-005</t>
  </si>
  <si>
    <t>lav om (??? Mange dyr forsvundet)</t>
  </si>
  <si>
    <t>TH-FP-48-006</t>
  </si>
  <si>
    <t>1w</t>
  </si>
  <si>
    <t>TH-FP-1w-001</t>
  </si>
  <si>
    <t>TH-FP-1w-002</t>
  </si>
  <si>
    <t>TH-FP-1w-003</t>
  </si>
  <si>
    <t>TH-FP-1w-004</t>
  </si>
  <si>
    <t>TH-FP-1w-005</t>
  </si>
  <si>
    <t>TH-FP-1w-006</t>
  </si>
  <si>
    <t>2w</t>
  </si>
  <si>
    <t>TH-FP-2w-001</t>
  </si>
  <si>
    <t>TH-FP-2w-002</t>
  </si>
  <si>
    <t>TH-FP-2w-003</t>
  </si>
  <si>
    <t>TH-FP-2w-004</t>
  </si>
  <si>
    <t>TH-FP-2w-005</t>
  </si>
  <si>
    <t>TH-FP-2w-006</t>
  </si>
  <si>
    <t>4w</t>
  </si>
  <si>
    <t>TH-FP-4w-001</t>
  </si>
  <si>
    <t>TH-FP-4w-002</t>
  </si>
  <si>
    <t>TH-FP-4w-003</t>
  </si>
  <si>
    <t>TH-FP-4w-004</t>
  </si>
  <si>
    <t>TH-FP-4w-005</t>
  </si>
  <si>
    <t>TH-FP-4w-006</t>
  </si>
  <si>
    <t>TH-FP-4w-007</t>
  </si>
  <si>
    <t>TH-FP-4w-008</t>
  </si>
  <si>
    <t>TH-FP-4w-009</t>
  </si>
  <si>
    <t>TH-FP-4w-010</t>
  </si>
  <si>
    <t>TH-FP-4w-011</t>
  </si>
  <si>
    <t>8w</t>
  </si>
  <si>
    <t>TH-FP-8w-001</t>
  </si>
  <si>
    <t>TH-FP-8w-002</t>
  </si>
  <si>
    <t>TH-FP-8w-003</t>
  </si>
  <si>
    <t>TH-FP-8w-004</t>
  </si>
  <si>
    <t>TH-FP-8w-005</t>
  </si>
  <si>
    <t>TH-FP-8w-006</t>
  </si>
  <si>
    <t>12w</t>
  </si>
  <si>
    <t>TH-FP-12w-001</t>
  </si>
  <si>
    <t>TH-FP-12w-002</t>
  </si>
  <si>
    <t>TH-FP-12w-003</t>
  </si>
  <si>
    <t>TH-FP-12w-004</t>
  </si>
  <si>
    <t>TH-FP-12w-005</t>
  </si>
  <si>
    <t>TH-FP-12w-006</t>
  </si>
  <si>
    <t>9 mth</t>
  </si>
  <si>
    <t>udgået da replikatet er forsvundet i køleskabet</t>
  </si>
  <si>
    <t>TH-FP-9m-001</t>
  </si>
  <si>
    <t>TH-FP-9m-002</t>
  </si>
  <si>
    <t>mange dyr forsvundet iml. 24h og 48h.</t>
  </si>
  <si>
    <t>TH-FP-9m-003</t>
  </si>
  <si>
    <t>TH-FP-9m-004</t>
  </si>
  <si>
    <t>TH-FP-9m-005</t>
  </si>
  <si>
    <t>TH-FP-9m-006</t>
  </si>
  <si>
    <t>0d</t>
  </si>
  <si>
    <t>1d</t>
  </si>
  <si>
    <t>2d</t>
  </si>
  <si>
    <t>3d</t>
  </si>
  <si>
    <t>4d</t>
  </si>
  <si>
    <t>3w</t>
  </si>
  <si>
    <t>5w</t>
  </si>
  <si>
    <t>TH-SW-Kon-001</t>
  </si>
  <si>
    <t>TH-SW-Kon-002</t>
  </si>
  <si>
    <t>TH-SW-Kon-003</t>
  </si>
  <si>
    <t>En klump snask er fejlagtigt blevet medtaget i stedet for et bjørnedyr her.</t>
  </si>
  <si>
    <t>TH-SW-Kon-004</t>
  </si>
  <si>
    <t>TH-SW-Kon-005</t>
  </si>
  <si>
    <t>TH-SW-Kon-006</t>
  </si>
  <si>
    <t>TH-SW-Kon-007</t>
  </si>
  <si>
    <t>TH-SW-Kon-008</t>
  </si>
  <si>
    <t>TH-SW-Kon-009</t>
  </si>
  <si>
    <t>TH-SW-Kon-010</t>
  </si>
  <si>
    <t>TH-SW-Kon-011</t>
  </si>
  <si>
    <t>TH-SW-Kon-012</t>
  </si>
  <si>
    <t>TH-SW-Kon-013</t>
  </si>
  <si>
    <t>TH-SW-Kon-014</t>
  </si>
  <si>
    <t>% active animals</t>
  </si>
  <si>
    <t>dessication rate (s)</t>
  </si>
  <si>
    <t>Filterpaper dH2O</t>
  </si>
  <si>
    <t>ikke vasket godt nok</t>
  </si>
  <si>
    <t>TH-FP-d-2-001</t>
  </si>
  <si>
    <t>TH-FP-d-2-002</t>
  </si>
  <si>
    <t>TH-FP-d-2-003</t>
  </si>
  <si>
    <t>TH-FP-d-2-004</t>
  </si>
  <si>
    <t>TH-FP-d-2-005</t>
  </si>
  <si>
    <t>TH-FP-d-2-006</t>
  </si>
  <si>
    <t>TH-FP-d-2-007</t>
  </si>
  <si>
    <t>TH-FP-d-2-008</t>
  </si>
  <si>
    <t>TH-FP-d-2-009</t>
  </si>
  <si>
    <t>TH-FP-d-24-001</t>
  </si>
  <si>
    <t>TH-FP-d-24-002</t>
  </si>
  <si>
    <t>TH-FP-d-24-003</t>
  </si>
  <si>
    <t>TH-FP-d-24-004</t>
  </si>
  <si>
    <t>TH-FP-d-24-005</t>
  </si>
  <si>
    <t>TH-FP-d-24-006</t>
  </si>
  <si>
    <t>TH-FP-d-48-001</t>
  </si>
  <si>
    <t>TH-FP-d-48-002</t>
  </si>
  <si>
    <t>TH-FP-d-48-003</t>
  </si>
  <si>
    <t>TH-FP-d-48-004</t>
  </si>
  <si>
    <t>TH-FP-d-48-005</t>
  </si>
  <si>
    <t>TH-FP-d-48-006</t>
  </si>
  <si>
    <t>TH-FP-2-007</t>
  </si>
  <si>
    <t>TH-FP-2-008</t>
  </si>
  <si>
    <t>TH-FP-2-009</t>
  </si>
  <si>
    <t>ny logbog</t>
  </si>
  <si>
    <t>12 mth</t>
  </si>
  <si>
    <t>TH-FP-12-001</t>
  </si>
  <si>
    <t>TH-FP-12-002</t>
  </si>
  <si>
    <t>TH-FP-12-003</t>
  </si>
  <si>
    <t>TH-FP-12-004</t>
  </si>
  <si>
    <t>TH-FP-12-005</t>
  </si>
  <si>
    <t>TH-FP-12-006</t>
  </si>
  <si>
    <t>6w</t>
  </si>
  <si>
    <t>udgået</t>
  </si>
  <si>
    <t>tabt i tør stand + cyste fundet</t>
  </si>
  <si>
    <t>Controls</t>
  </si>
  <si>
    <t>desiccation on glass</t>
  </si>
  <si>
    <r>
      <t>0,1</t>
    </r>
    <r>
      <rPr>
        <b/>
        <sz val="11"/>
        <color rgb="FF000000"/>
        <rFont val="Calibri"/>
        <family val="2"/>
        <charset val="1"/>
      </rPr>
      <t>µ</t>
    </r>
    <r>
      <rPr>
        <b/>
        <sz val="11"/>
        <color rgb="FF000000"/>
        <rFont val="Calibri"/>
        <family val="2"/>
        <charset val="1"/>
      </rPr>
      <t>l 2h</t>
    </r>
  </si>
  <si>
    <r>
      <t>0,1</t>
    </r>
    <r>
      <rPr>
        <b/>
        <sz val="11"/>
        <color rgb="FF000000"/>
        <rFont val="Calibri"/>
        <family val="2"/>
        <charset val="1"/>
      </rPr>
      <t>µ</t>
    </r>
    <r>
      <rPr>
        <b/>
        <sz val="11"/>
        <color rgb="FF000000"/>
        <rFont val="Calibri"/>
        <family val="2"/>
        <charset val="1"/>
      </rPr>
      <t>l 24h</t>
    </r>
  </si>
  <si>
    <r>
      <t>10</t>
    </r>
    <r>
      <rPr>
        <b/>
        <sz val="11"/>
        <color rgb="FF000000"/>
        <rFont val="Calibri"/>
        <family val="2"/>
        <charset val="1"/>
      </rPr>
      <t>µ</t>
    </r>
    <r>
      <rPr>
        <b/>
        <sz val="11"/>
        <color rgb="FF000000"/>
        <rFont val="Calibri"/>
        <family val="2"/>
        <charset val="1"/>
      </rPr>
      <t>l 24h</t>
    </r>
  </si>
  <si>
    <t>TH-G-10-24-001</t>
  </si>
  <si>
    <t>TH-G-10-24-002</t>
  </si>
  <si>
    <t>TH-G-10-24-003</t>
  </si>
  <si>
    <t>TH-G-0,1-02-001</t>
  </si>
  <si>
    <t>TH-G-0,1-02-002</t>
  </si>
  <si>
    <t>TH-G-0,1-02-003</t>
  </si>
  <si>
    <t>TH-G-0,1-24-001</t>
  </si>
  <si>
    <t>TH-G-0,1-24-002</t>
  </si>
  <si>
    <t>TH-G-0,1-24-003</t>
  </si>
  <si>
    <t>skiftet havvand efter 24 timer</t>
  </si>
  <si>
    <r>
      <t>1</t>
    </r>
    <r>
      <rPr>
        <b/>
        <sz val="11"/>
        <color rgb="FF000000"/>
        <rFont val="Calibri"/>
        <family val="2"/>
        <charset val="1"/>
      </rPr>
      <t>µ</t>
    </r>
    <r>
      <rPr>
        <b/>
        <sz val="11"/>
        <color rgb="FF000000"/>
        <rFont val="Calibri"/>
        <family val="2"/>
        <charset val="1"/>
      </rPr>
      <t>l 24h</t>
    </r>
  </si>
  <si>
    <r>
      <t>0,1</t>
    </r>
    <r>
      <rPr>
        <b/>
        <sz val="11"/>
        <color rgb="FF000000"/>
        <rFont val="Calibri"/>
        <family val="2"/>
        <charset val="1"/>
      </rPr>
      <t>µ</t>
    </r>
    <r>
      <rPr>
        <b/>
        <sz val="11"/>
        <color rgb="FF000000"/>
        <rFont val="Calibri"/>
        <family val="2"/>
        <charset val="1"/>
      </rPr>
      <t>l 48h</t>
    </r>
  </si>
  <si>
    <r>
      <t>1</t>
    </r>
    <r>
      <rPr>
        <b/>
        <sz val="11"/>
        <color rgb="FF000000"/>
        <rFont val="Calibri"/>
        <family val="2"/>
        <charset val="1"/>
      </rPr>
      <t>µ</t>
    </r>
    <r>
      <rPr>
        <b/>
        <sz val="11"/>
        <color rgb="FF000000"/>
        <rFont val="Calibri"/>
        <family val="2"/>
        <charset val="1"/>
      </rPr>
      <t>l 48h</t>
    </r>
  </si>
  <si>
    <r>
      <t>10</t>
    </r>
    <r>
      <rPr>
        <b/>
        <sz val="11"/>
        <color rgb="FF000000"/>
        <rFont val="Calibri"/>
        <family val="2"/>
        <charset val="1"/>
      </rPr>
      <t>µ</t>
    </r>
    <r>
      <rPr>
        <b/>
        <sz val="11"/>
        <color rgb="FF000000"/>
        <rFont val="Calibri"/>
        <family val="2"/>
        <charset val="1"/>
      </rPr>
      <t>l 48h</t>
    </r>
  </si>
  <si>
    <t>TH-G-0,1-48-002</t>
  </si>
  <si>
    <t>TH-G-0,1-48-003</t>
  </si>
  <si>
    <t>TH-G-1-48-004</t>
  </si>
  <si>
    <t>TH-G-1-48-005</t>
  </si>
  <si>
    <t>TH-G-10-48-002</t>
  </si>
  <si>
    <t>udgår pga. dårlig bogføring</t>
  </si>
  <si>
    <r>
      <t>10</t>
    </r>
    <r>
      <rPr>
        <b/>
        <sz val="11"/>
        <color rgb="FF000000"/>
        <rFont val="Calibri"/>
        <family val="2"/>
        <charset val="1"/>
      </rPr>
      <t>µ</t>
    </r>
    <r>
      <rPr>
        <b/>
        <sz val="11"/>
        <color rgb="FF000000"/>
        <rFont val="Calibri"/>
        <family val="2"/>
        <charset val="1"/>
      </rPr>
      <t>l 2h</t>
    </r>
  </si>
  <si>
    <t>TH-G-10-02-001</t>
  </si>
  <si>
    <t>TH-G-10-02-002</t>
  </si>
  <si>
    <t>TH-G-10-02-003</t>
  </si>
  <si>
    <t>TH-G-10-02-004</t>
  </si>
  <si>
    <t>TH-G-10-02-005</t>
  </si>
  <si>
    <t>TH-G-10-24-004</t>
  </si>
  <si>
    <t>TH-G-10-24-006</t>
  </si>
  <si>
    <t>TH-G-1-24-003</t>
  </si>
  <si>
    <t>TH-G-1-24-005</t>
  </si>
  <si>
    <t>TH-G-1-02-006</t>
  </si>
  <si>
    <r>
      <t>1</t>
    </r>
    <r>
      <rPr>
        <b/>
        <sz val="11"/>
        <color rgb="FF000000"/>
        <rFont val="Calibri"/>
        <family val="2"/>
        <charset val="1"/>
      </rPr>
      <t>µ</t>
    </r>
    <r>
      <rPr>
        <b/>
        <sz val="11"/>
        <color rgb="FF000000"/>
        <rFont val="Calibri"/>
        <family val="2"/>
        <charset val="1"/>
      </rPr>
      <t>l 2h</t>
    </r>
  </si>
  <si>
    <t>TH-G-0,1-02-004</t>
  </si>
  <si>
    <t>TH-G-0,1-02-005</t>
  </si>
  <si>
    <t>TH-G-0,1-02-006</t>
  </si>
  <si>
    <t>TH-G-0,1-02-007</t>
  </si>
  <si>
    <t>TH-G-0,1-2w-001</t>
  </si>
  <si>
    <t>TH-G-0,1-2w-002</t>
  </si>
  <si>
    <t>TH-G-0,1-2w-003</t>
  </si>
  <si>
    <t>TH-G-0,1-2w-004</t>
  </si>
  <si>
    <t>TH-G-0,1-2w-005</t>
  </si>
  <si>
    <t>TH-G-0,1-2w-006</t>
  </si>
  <si>
    <r>
      <t>0,1</t>
    </r>
    <r>
      <rPr>
        <b/>
        <sz val="11"/>
        <color rgb="FF000000"/>
        <rFont val="Calibri"/>
        <family val="2"/>
        <charset val="1"/>
      </rPr>
      <t>µ</t>
    </r>
    <r>
      <rPr>
        <b/>
        <sz val="11"/>
        <color rgb="FF000000"/>
        <rFont val="Calibri"/>
        <family val="2"/>
        <charset val="1"/>
      </rPr>
      <t>l 2w</t>
    </r>
  </si>
  <si>
    <r>
      <t>1</t>
    </r>
    <r>
      <rPr>
        <b/>
        <sz val="11"/>
        <color rgb="FF000000"/>
        <rFont val="Calibri"/>
        <family val="2"/>
        <charset val="1"/>
      </rPr>
      <t>µ</t>
    </r>
    <r>
      <rPr>
        <b/>
        <sz val="11"/>
        <color rgb="FF000000"/>
        <rFont val="Calibri"/>
        <family val="2"/>
        <charset val="1"/>
      </rPr>
      <t>l 2w</t>
    </r>
  </si>
  <si>
    <r>
      <t>10</t>
    </r>
    <r>
      <rPr>
        <b/>
        <sz val="11"/>
        <color rgb="FF000000"/>
        <rFont val="Calibri"/>
        <family val="2"/>
        <charset val="1"/>
      </rPr>
      <t>µ</t>
    </r>
    <r>
      <rPr>
        <b/>
        <sz val="11"/>
        <color rgb="FF000000"/>
        <rFont val="Calibri"/>
        <family val="2"/>
        <charset val="1"/>
      </rPr>
      <t>l 2w</t>
    </r>
  </si>
  <si>
    <t>TH-G-10-2w-001</t>
  </si>
  <si>
    <t>TH-G-10-2w-002</t>
  </si>
  <si>
    <t>TH-G-10-2w-003</t>
  </si>
  <si>
    <t>TH-G-1-2w-001</t>
  </si>
  <si>
    <t>TH-G-1-2w-002</t>
  </si>
  <si>
    <t>TH-G-1-2w-003</t>
  </si>
  <si>
    <t>TH-G-1-48-006</t>
  </si>
  <si>
    <t>TH-G-1-48-007</t>
  </si>
  <si>
    <t>TH-G-1-48-008</t>
  </si>
  <si>
    <t>TH-G-1-02-007</t>
  </si>
  <si>
    <t>TH-G-1-02-008</t>
  </si>
  <si>
    <t>TH-G-1-02-009</t>
  </si>
  <si>
    <t>TH-G-0,1-48-004</t>
  </si>
  <si>
    <t>TH-G-0,1-48-005</t>
  </si>
  <si>
    <t>TH-G-0,1-48-006</t>
  </si>
  <si>
    <t>TH-G-0,1-48-007</t>
  </si>
  <si>
    <t>TH-G-10-02-006</t>
  </si>
  <si>
    <t>TH-G-1-24-006</t>
  </si>
  <si>
    <t>TH-G-1-24-007</t>
  </si>
  <si>
    <t>TH-G-10-24-007</t>
  </si>
  <si>
    <t>TH-G-1-24-008</t>
  </si>
  <si>
    <t>TH-G-1-24-009</t>
  </si>
  <si>
    <t>TH-G-1-48-009</t>
  </si>
  <si>
    <t>TH-G-1-48-010</t>
  </si>
  <si>
    <t>TH-G-1-48-011</t>
  </si>
  <si>
    <t>TH-G-1-48-012</t>
  </si>
  <si>
    <t>TH-G-10-48-004</t>
  </si>
  <si>
    <t>TH-G-10-48-005</t>
  </si>
  <si>
    <t>TH-G-10-48-006</t>
  </si>
  <si>
    <t>TH-G-0,1-48-008</t>
  </si>
  <si>
    <t>desiccation on hedgehog spines</t>
  </si>
  <si>
    <t>TH-FP-PP-48-001</t>
  </si>
  <si>
    <t>TH-FP-PP-48-002</t>
  </si>
  <si>
    <t>TH-FP-PP-48-003</t>
  </si>
  <si>
    <t>TH-FP-PP-48-004</t>
  </si>
  <si>
    <t>TH-FP-PP-24-001</t>
  </si>
  <si>
    <t>TH-FP-PP-24-002</t>
  </si>
  <si>
    <t>TH-FP-PP-24-003</t>
  </si>
  <si>
    <t>TH-FP-PP-24-004</t>
  </si>
  <si>
    <t>TH-FP-PP-24-005</t>
  </si>
  <si>
    <t>TH-FP-PP-2-001</t>
  </si>
  <si>
    <t>TH-FP-PP-2-002</t>
  </si>
  <si>
    <t>udgår da den ikke er bogført ordentligt</t>
  </si>
  <si>
    <t>TH-FP-PP-48-005</t>
  </si>
  <si>
    <t>TH-FP-PP-48-006</t>
  </si>
  <si>
    <t>TH-FP-PP-48-007</t>
  </si>
  <si>
    <t>-</t>
  </si>
  <si>
    <t xml:space="preserve">TH-G-10-24-005 er udgået af dataarket pga dårlig bogføring. </t>
  </si>
  <si>
    <t>TH-G-0,1-24-004</t>
  </si>
  <si>
    <t>TH-G-0,1-24-005</t>
  </si>
  <si>
    <t>TH-G-0,1-24-006</t>
  </si>
  <si>
    <t>1 dyr noteret som "mangler" ved 24h</t>
  </si>
  <si>
    <t>bemærkning fra journal: "dyr muligvis for gamle"</t>
  </si>
  <si>
    <t>udtørringshast 15-21 minutter</t>
  </si>
  <si>
    <t>Bogført på side dateret "30/01-14"</t>
  </si>
  <si>
    <t>1 dyr udgået pga punktering v. 48h</t>
  </si>
  <si>
    <t>2 dyr udgået pga punktering ved 24h</t>
  </si>
  <si>
    <t>1 dyr udgået pga punktering v. 2h</t>
  </si>
  <si>
    <t>1 dyr udgået pga punktering v. 24h.</t>
  </si>
  <si>
    <t xml:space="preserve">1 dyr udgået pga punktering v. 24h, </t>
  </si>
  <si>
    <t>1 dyr udgået pga punktering v. 5 min</t>
  </si>
  <si>
    <t>1 dyr udgået pga punktering v. 24h. Tre dyr bogført som "døde", uklar hvad der menes med gåseøjnene. (Jeg har fortolket dem som værende meget inaktive, og derfor inkluderet dem i dataarket.)</t>
  </si>
  <si>
    <t xml:space="preserve">Det er i labbogen en smule uklart om disse replikater er udført d. 23/1 eller d. 24/1. Jeg har indført dem som d. 24/1 da jeg mener at det er mest plausibelt. </t>
  </si>
  <si>
    <t>TH-G-10-48-001 og  TH-G-10-48-003 udgået</t>
  </si>
  <si>
    <t xml:space="preserve">replikaterne 1-5 er udgået. </t>
  </si>
  <si>
    <t xml:space="preserve">1 dyr udgået pga punktering v. 24h. </t>
  </si>
  <si>
    <t>1 dyr udgået pga punktering v. 48 h</t>
  </si>
  <si>
    <t>saltkarret har været delvist væltet og således er der blevet spildt vand. Dyr sandsynligvis gået tabt i den anledning.</t>
  </si>
  <si>
    <t>DesiccationLength</t>
  </si>
  <si>
    <t>Replicate</t>
  </si>
  <si>
    <t>Active48</t>
  </si>
  <si>
    <t>Inactive48</t>
  </si>
  <si>
    <t>Total28</t>
  </si>
  <si>
    <t>Prop48</t>
  </si>
  <si>
    <t>Filter paper dH20</t>
  </si>
  <si>
    <t>Glass</t>
  </si>
  <si>
    <t>Hedgehog</t>
  </si>
  <si>
    <t>Surface</t>
  </si>
  <si>
    <t>WaterVolume</t>
  </si>
  <si>
    <t>Filter paper</t>
  </si>
  <si>
    <t>Day</t>
  </si>
  <si>
    <t>Active</t>
  </si>
  <si>
    <t>Inactive</t>
  </si>
  <si>
    <t>Total</t>
  </si>
  <si>
    <t>Prop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</si>
</sst>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rgb="FF000000"/>
      <name val="Calibri"/>
      <family val="2"/>
      <charset val="1"/>
    </font>
    <font>
      <b/>
      <sz val="11"/>
      <color rgb="FF000000"/>
      <name val="Calibri"/>
      <family val="2"/>
      <charset val="1"/>
    </font>
    <font>
      <b/>
      <sz val="11"/>
      <color rgb="FF000000"/>
      <name val="Arial"/>
      <family val="2"/>
      <charset val="1"/>
    </font>
    <font>
      <sz val="11"/>
      <name val="Calibri"/>
      <family val="2"/>
      <charset val="1"/>
    </font>
    <font>
      <b/>
      <sz val="11"/>
      <color rgb="FF000000"/>
      <name val="Calibri"/>
      <family val="2"/>
    </font>
    <font>
      <sz val="11"/>
      <color rgb="FFFF0000"/>
      <name val="Calibri"/>
      <family val="2"/>
      <charset val="1"/>
    </font>
    <font>
      <sz val="11"/>
      <name val="Calibri"/>
      <family val="2"/>
    </font>
    <font>
      <b/>
      <sz val="11"/>
      <name val="Calibri"/>
      <family val="2"/>
      <charset val="1"/>
    </font>
    <font>
      <b/>
      <sz val="11"/>
      <color rgb="FFFF0000"/>
      <name val="Arial"/>
      <family val="2"/>
    </font>
    <font>
      <sz val="11"/>
      <color rgb="FFFF0000"/>
      <name val="Calibri"/>
      <family val="2"/>
    </font>
    <font>
      <u/>
      <sz val="11"/>
      <color theme="10"/>
      <name val="Calibri"/>
      <family val="2"/>
      <charset val="1"/>
    </font>
    <font>
      <u/>
      <sz val="11"/>
      <color theme="11"/>
      <name val="Calibri"/>
      <family val="2"/>
      <charset val="1"/>
    </font>
    <font>
      <sz val="11"/>
      <color rgb="FF00B050"/>
      <name val="Calibri"/>
      <family val="2"/>
      <charset val="1"/>
    </font>
  </fonts>
  <fills count="6">
    <fill>
      <patternFill patternType="none"/>
    </fill>
    <fill>
      <patternFill patternType="gray125"/>
    </fill>
    <fill>
      <patternFill patternType="solid">
        <fgColor rgb="FFDDD9C3"/>
        <bgColor rgb="FFFFCC99"/>
      </patternFill>
    </fill>
    <fill>
      <patternFill patternType="solid">
        <fgColor rgb="FFC4BD97"/>
        <bgColor rgb="FFDDD9C3"/>
      </patternFill>
    </fill>
    <fill>
      <patternFill patternType="solid">
        <fgColor rgb="FFFF0000"/>
        <bgColor rgb="FF993300"/>
      </patternFill>
    </fill>
    <fill>
      <patternFill patternType="solid">
        <fgColor rgb="FFFF0000"/>
        <bgColor indexed="64"/>
      </patternFill>
    </fill>
  </fills>
  <borders count="10">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s>
  <cellStyleXfs count="2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9">
    <xf numFmtId="0" fontId="0" fillId="0" borderId="0" xfId="0"/>
    <xf numFmtId="0" fontId="0" fillId="0" borderId="1" xfId="0" applyFont="1" applyBorder="1"/>
    <xf numFmtId="0" fontId="0" fillId="0" borderId="2" xfId="0" applyFont="1" applyBorder="1"/>
    <xf numFmtId="0" fontId="0" fillId="0" borderId="3" xfId="0" applyBorder="1"/>
    <xf numFmtId="0" fontId="1" fillId="0" borderId="2" xfId="0" applyFont="1" applyBorder="1"/>
    <xf numFmtId="0" fontId="2" fillId="0" borderId="3" xfId="0" applyFont="1" applyBorder="1"/>
    <xf numFmtId="0" fontId="0" fillId="0" borderId="4" xfId="0" applyBorder="1"/>
    <xf numFmtId="0" fontId="1" fillId="0" borderId="0" xfId="0" applyFont="1" applyBorder="1"/>
    <xf numFmtId="0" fontId="2" fillId="0" borderId="4" xfId="0" applyFont="1" applyBorder="1"/>
    <xf numFmtId="0" fontId="2" fillId="0" borderId="0" xfId="0" applyFont="1" applyBorder="1"/>
    <xf numFmtId="0" fontId="1" fillId="0" borderId="5" xfId="0" applyFont="1" applyBorder="1"/>
    <xf numFmtId="0" fontId="1" fillId="0" borderId="4" xfId="0" applyFont="1" applyBorder="1"/>
    <xf numFmtId="0" fontId="1" fillId="0" borderId="0" xfId="0" applyFont="1"/>
    <xf numFmtId="14" fontId="0" fillId="0" borderId="0" xfId="0" applyNumberFormat="1"/>
    <xf numFmtId="0" fontId="0" fillId="0" borderId="0" xfId="0"/>
    <xf numFmtId="0" fontId="0" fillId="0" borderId="0" xfId="0" applyBorder="1"/>
    <xf numFmtId="0" fontId="0" fillId="2" borderId="4" xfId="0" applyFont="1" applyFill="1" applyBorder="1"/>
    <xf numFmtId="0" fontId="0" fillId="2" borderId="0" xfId="0" applyFill="1"/>
    <xf numFmtId="0" fontId="0" fillId="2" borderId="0" xfId="0" applyFill="1" applyBorder="1"/>
    <xf numFmtId="0" fontId="0" fillId="3" borderId="4" xfId="0" applyFont="1" applyFill="1" applyBorder="1"/>
    <xf numFmtId="0" fontId="0" fillId="3" borderId="0" xfId="0" applyFill="1"/>
    <xf numFmtId="0" fontId="0" fillId="3" borderId="6" xfId="0" applyFill="1" applyBorder="1"/>
    <xf numFmtId="0" fontId="0" fillId="3" borderId="0" xfId="0" applyFill="1" applyBorder="1"/>
    <xf numFmtId="0" fontId="0" fillId="0" borderId="7" xfId="0" applyBorder="1"/>
    <xf numFmtId="0" fontId="1" fillId="0" borderId="8" xfId="0" applyFont="1" applyBorder="1"/>
    <xf numFmtId="0" fontId="0" fillId="0" borderId="8" xfId="0" applyBorder="1"/>
    <xf numFmtId="0" fontId="0" fillId="0" borderId="5" xfId="0" applyBorder="1"/>
    <xf numFmtId="0" fontId="0" fillId="0" borderId="0" xfId="0" applyFont="1" applyBorder="1"/>
    <xf numFmtId="0" fontId="3" fillId="4" borderId="4" xfId="0" applyFont="1" applyFill="1" applyBorder="1"/>
    <xf numFmtId="0" fontId="3" fillId="4" borderId="0" xfId="0" applyFont="1" applyFill="1"/>
    <xf numFmtId="0" fontId="3" fillId="4" borderId="0" xfId="0" applyFont="1" applyFill="1" applyBorder="1"/>
    <xf numFmtId="14" fontId="0" fillId="0" borderId="0" xfId="0" applyNumberFormat="1" applyBorder="1"/>
    <xf numFmtId="0" fontId="0" fillId="0" borderId="4" xfId="0" applyFont="1" applyBorder="1"/>
    <xf numFmtId="0" fontId="0" fillId="0" borderId="0" xfId="0"/>
    <xf numFmtId="0" fontId="0" fillId="0" borderId="6" xfId="0" applyBorder="1"/>
    <xf numFmtId="0" fontId="0" fillId="0" borderId="9" xfId="0" applyBorder="1"/>
    <xf numFmtId="0" fontId="0" fillId="2" borderId="6" xfId="0" applyFill="1" applyBorder="1"/>
    <xf numFmtId="0" fontId="0" fillId="3" borderId="3" xfId="0" applyFill="1" applyBorder="1"/>
    <xf numFmtId="0" fontId="0" fillId="4" borderId="0" xfId="0" applyFont="1" applyFill="1"/>
    <xf numFmtId="14" fontId="0" fillId="4" borderId="0" xfId="0" applyNumberFormat="1" applyFill="1"/>
    <xf numFmtId="0" fontId="0" fillId="4" borderId="4" xfId="0" applyFont="1" applyFill="1" applyBorder="1"/>
    <xf numFmtId="0" fontId="0" fillId="4" borderId="0" xfId="0" applyFill="1" applyBorder="1"/>
    <xf numFmtId="0" fontId="2" fillId="0" borderId="5" xfId="0" applyFont="1" applyBorder="1"/>
    <xf numFmtId="0" fontId="0" fillId="0" borderId="6" xfId="0" applyBorder="1"/>
    <xf numFmtId="0" fontId="0" fillId="0" borderId="4" xfId="0" applyFont="1" applyFill="1" applyBorder="1"/>
    <xf numFmtId="0" fontId="0" fillId="0" borderId="0" xfId="0" applyFont="1" applyFill="1" applyBorder="1"/>
    <xf numFmtId="0" fontId="0" fillId="0" borderId="0" xfId="0" applyFill="1" applyBorder="1"/>
    <xf numFmtId="0" fontId="0" fillId="5" borderId="4" xfId="0" applyFont="1" applyFill="1" applyBorder="1"/>
    <xf numFmtId="0" fontId="0" fillId="5" borderId="0" xfId="0" applyFill="1"/>
    <xf numFmtId="0" fontId="0" fillId="5" borderId="0" xfId="0" applyFill="1" applyBorder="1"/>
    <xf numFmtId="0" fontId="0" fillId="4" borderId="6" xfId="0" applyFont="1" applyFill="1" applyBorder="1"/>
    <xf numFmtId="0" fontId="0" fillId="0" borderId="0" xfId="0" applyFont="1" applyFill="1"/>
    <xf numFmtId="14" fontId="0" fillId="0" borderId="0" xfId="0" applyNumberFormat="1" applyFill="1"/>
    <xf numFmtId="0" fontId="0" fillId="0" borderId="6" xfId="0" applyFont="1" applyFill="1" applyBorder="1"/>
    <xf numFmtId="0" fontId="0" fillId="0" borderId="0" xfId="0" applyFill="1"/>
    <xf numFmtId="0" fontId="0" fillId="0" borderId="4" xfId="0" applyFill="1" applyBorder="1"/>
    <xf numFmtId="0" fontId="0" fillId="0" borderId="6" xfId="0" applyFill="1" applyBorder="1"/>
    <xf numFmtId="0" fontId="0" fillId="2" borderId="0" xfId="0" applyFont="1" applyFill="1" applyBorder="1"/>
    <xf numFmtId="0" fontId="1" fillId="0" borderId="7" xfId="0" applyFont="1" applyBorder="1"/>
    <xf numFmtId="14" fontId="0" fillId="0" borderId="6" xfId="0" applyNumberFormat="1" applyFill="1" applyBorder="1"/>
    <xf numFmtId="0" fontId="0" fillId="0" borderId="2" xfId="0" applyBorder="1"/>
    <xf numFmtId="0" fontId="0" fillId="3" borderId="2" xfId="0" applyFill="1" applyBorder="1"/>
    <xf numFmtId="0" fontId="0" fillId="3" borderId="1" xfId="0" applyFill="1" applyBorder="1"/>
    <xf numFmtId="164" fontId="0" fillId="2" borderId="6" xfId="0" applyNumberFormat="1" applyFill="1" applyBorder="1"/>
    <xf numFmtId="0" fontId="0" fillId="3" borderId="3" xfId="0" applyFont="1" applyFill="1" applyBorder="1"/>
    <xf numFmtId="0" fontId="3" fillId="0" borderId="4" xfId="0" applyFont="1" applyFill="1" applyBorder="1"/>
    <xf numFmtId="0" fontId="3" fillId="0" borderId="0" xfId="0" applyFont="1" applyFill="1"/>
    <xf numFmtId="0" fontId="3" fillId="0" borderId="0" xfId="0" applyFont="1" applyFill="1" applyBorder="1"/>
    <xf numFmtId="0" fontId="2" fillId="0" borderId="6" xfId="0" applyFont="1" applyBorder="1"/>
    <xf numFmtId="0" fontId="0" fillId="5" borderId="4" xfId="0" applyFill="1" applyBorder="1"/>
    <xf numFmtId="0" fontId="0" fillId="5" borderId="6" xfId="0" applyFill="1" applyBorder="1"/>
    <xf numFmtId="0" fontId="4" fillId="0" borderId="4" xfId="0" applyFont="1" applyBorder="1"/>
    <xf numFmtId="14" fontId="0" fillId="5" borderId="0" xfId="0" applyNumberFormat="1" applyFill="1"/>
    <xf numFmtId="2" fontId="0" fillId="0" borderId="0" xfId="0" applyNumberFormat="1"/>
    <xf numFmtId="0" fontId="2" fillId="0" borderId="2" xfId="0" applyFont="1" applyBorder="1"/>
    <xf numFmtId="0" fontId="0" fillId="3" borderId="0" xfId="0" applyFont="1" applyFill="1" applyBorder="1"/>
    <xf numFmtId="0" fontId="0" fillId="4" borderId="0" xfId="0" applyFont="1" applyFill="1" applyBorder="1"/>
    <xf numFmtId="0" fontId="3" fillId="4" borderId="6" xfId="0" applyFont="1" applyFill="1" applyBorder="1"/>
    <xf numFmtId="0" fontId="0" fillId="4" borderId="6" xfId="0" applyFill="1" applyBorder="1"/>
    <xf numFmtId="0" fontId="3" fillId="0" borderId="6" xfId="0" applyFont="1" applyFill="1" applyBorder="1"/>
    <xf numFmtId="0" fontId="0" fillId="3" borderId="2" xfId="0" applyFont="1" applyFill="1" applyBorder="1"/>
    <xf numFmtId="0" fontId="5" fillId="0" borderId="0" xfId="0" applyFont="1" applyBorder="1"/>
    <xf numFmtId="0" fontId="3" fillId="0" borderId="0" xfId="0" applyFont="1" applyBorder="1"/>
    <xf numFmtId="0" fontId="3" fillId="0" borderId="6" xfId="0" applyFont="1" applyBorder="1"/>
    <xf numFmtId="14" fontId="3" fillId="0" borderId="0" xfId="0" applyNumberFormat="1" applyFont="1"/>
    <xf numFmtId="0" fontId="3" fillId="0" borderId="0" xfId="0" applyFont="1"/>
    <xf numFmtId="0" fontId="3" fillId="0" borderId="4" xfId="0" applyFont="1" applyBorder="1"/>
    <xf numFmtId="14" fontId="3" fillId="0" borderId="0" xfId="0" applyNumberFormat="1" applyFont="1" applyBorder="1"/>
    <xf numFmtId="0" fontId="6" fillId="0" borderId="0" xfId="0" applyFont="1" applyBorder="1"/>
    <xf numFmtId="0" fontId="6" fillId="0" borderId="0" xfId="0" applyFont="1"/>
    <xf numFmtId="0" fontId="3" fillId="5" borderId="0" xfId="0" applyFont="1" applyFill="1" applyBorder="1"/>
    <xf numFmtId="0" fontId="3" fillId="5" borderId="4" xfId="0" applyFont="1" applyFill="1" applyBorder="1"/>
    <xf numFmtId="0" fontId="3" fillId="5" borderId="0" xfId="0" applyFont="1" applyFill="1"/>
    <xf numFmtId="0" fontId="3" fillId="5" borderId="6" xfId="0" applyFont="1" applyFill="1" applyBorder="1"/>
    <xf numFmtId="0" fontId="7" fillId="0" borderId="2" xfId="0" applyFont="1" applyBorder="1"/>
    <xf numFmtId="14" fontId="6" fillId="0" borderId="0" xfId="0" applyNumberFormat="1" applyFont="1"/>
    <xf numFmtId="0" fontId="0" fillId="0" borderId="4" xfId="0" quotePrefix="1" applyBorder="1"/>
    <xf numFmtId="0" fontId="3" fillId="0" borderId="7" xfId="0" applyFont="1" applyBorder="1"/>
    <xf numFmtId="0" fontId="3" fillId="2" borderId="0" xfId="0" applyFont="1" applyFill="1" applyBorder="1"/>
    <xf numFmtId="0" fontId="3" fillId="2" borderId="4" xfId="0" applyFont="1" applyFill="1" applyBorder="1"/>
    <xf numFmtId="0" fontId="3" fillId="3" borderId="2" xfId="0" applyFont="1" applyFill="1" applyBorder="1"/>
    <xf numFmtId="0" fontId="3" fillId="3" borderId="3" xfId="0" applyFont="1" applyFill="1" applyBorder="1"/>
    <xf numFmtId="0" fontId="3" fillId="3" borderId="1" xfId="0" applyFont="1" applyFill="1" applyBorder="1"/>
    <xf numFmtId="0" fontId="3" fillId="2" borderId="6" xfId="0" applyFont="1" applyFill="1" applyBorder="1"/>
    <xf numFmtId="0" fontId="5" fillId="0" borderId="0" xfId="0" applyFont="1"/>
    <xf numFmtId="0" fontId="8" fillId="0" borderId="3" xfId="0" applyFont="1" applyBorder="1"/>
    <xf numFmtId="0" fontId="9" fillId="0" borderId="0" xfId="0" applyFont="1"/>
    <xf numFmtId="0" fontId="5" fillId="5" borderId="0" xfId="0" applyFont="1" applyFill="1"/>
    <xf numFmtId="0" fontId="5" fillId="5" borderId="4" xfId="0" applyFont="1" applyFill="1" applyBorder="1"/>
    <xf numFmtId="0" fontId="5" fillId="5" borderId="0" xfId="0" applyFont="1" applyFill="1" applyBorder="1"/>
    <xf numFmtId="0" fontId="5" fillId="5" borderId="6" xfId="0" applyFont="1" applyFill="1" applyBorder="1"/>
    <xf numFmtId="0" fontId="3" fillId="3" borderId="0" xfId="0" applyFont="1" applyFill="1" applyBorder="1"/>
    <xf numFmtId="0" fontId="3" fillId="3" borderId="0" xfId="0" applyFont="1" applyFill="1"/>
    <xf numFmtId="0" fontId="3" fillId="3" borderId="6" xfId="0" applyFont="1" applyFill="1" applyBorder="1"/>
    <xf numFmtId="0" fontId="3" fillId="0" borderId="5" xfId="0" applyFont="1" applyBorder="1"/>
    <xf numFmtId="0" fontId="3" fillId="0" borderId="8" xfId="0" applyFont="1" applyBorder="1"/>
    <xf numFmtId="0" fontId="3" fillId="2" borderId="0" xfId="0" applyFont="1" applyFill="1"/>
    <xf numFmtId="165" fontId="0" fillId="0" borderId="0" xfId="0" applyNumberFormat="1"/>
    <xf numFmtId="0" fontId="12" fillId="0" borderId="0" xfId="0" applyFont="1" applyFill="1" applyBorder="1"/>
  </cellXfs>
  <cellStyles count="2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4BD97"/>
      <rgbColor rgb="00808080"/>
      <rgbColor rgb="009999FF"/>
      <rgbColor rgb="00993366"/>
      <rgbColor rgb="00FFFFCC"/>
      <rgbColor rgb="00CCFFFF"/>
      <rgbColor rgb="00660066"/>
      <rgbColor rgb="00FF8080"/>
      <rgbColor rgb="000066CC"/>
      <rgbColor rgb="00DDD9C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327660</xdr:colOff>
      <xdr:row>3</xdr:row>
      <xdr:rowOff>129540</xdr:rowOff>
    </xdr:from>
    <xdr:to>
      <xdr:col>12</xdr:col>
      <xdr:colOff>3810</xdr:colOff>
      <xdr:row>40</xdr:row>
      <xdr:rowOff>167640</xdr:rowOff>
    </xdr:to>
    <xdr:sp macro="" textlink="">
      <xdr:nvSpPr>
        <xdr:cNvPr id="2" name="TextBox 1"/>
        <xdr:cNvSpPr txBox="1"/>
      </xdr:nvSpPr>
      <xdr:spPr>
        <a:xfrm>
          <a:off x="1000760" y="701040"/>
          <a:ext cx="7080250" cy="708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400">
              <a:latin typeface="Times New Roman" panose="02020603050405020304" pitchFamily="18" charset="0"/>
              <a:cs typeface="Times New Roman" panose="02020603050405020304" pitchFamily="18" charset="0"/>
            </a:rPr>
            <a:t>Rådataark</a:t>
          </a:r>
          <a:r>
            <a:rPr lang="da-DK" sz="1400" baseline="0">
              <a:latin typeface="Times New Roman" panose="02020603050405020304" pitchFamily="18" charset="0"/>
              <a:cs typeface="Times New Roman" panose="02020603050405020304" pitchFamily="18" charset="0"/>
            </a:rPr>
            <a:t> - Udtørrings forsøg</a:t>
          </a:r>
        </a:p>
        <a:p>
          <a:pPr algn="l"/>
          <a:endParaRPr lang="da-DK" sz="1200">
            <a:latin typeface="Times New Roman" panose="02020603050405020304" pitchFamily="18" charset="0"/>
            <a:cs typeface="Times New Roman" panose="02020603050405020304" pitchFamily="18" charset="0"/>
          </a:endParaRPr>
        </a:p>
        <a:p>
          <a:pPr algn="l"/>
          <a:r>
            <a:rPr lang="da-DK" sz="1200">
              <a:latin typeface="Times New Roman" panose="02020603050405020304" pitchFamily="18" charset="0"/>
              <a:cs typeface="Times New Roman" panose="02020603050405020304" pitchFamily="18" charset="0"/>
            </a:rPr>
            <a:t>Dette er arket med</a:t>
          </a:r>
          <a:r>
            <a:rPr lang="da-DK" sz="1200" baseline="0">
              <a:latin typeface="Times New Roman" panose="02020603050405020304" pitchFamily="18" charset="0"/>
              <a:cs typeface="Times New Roman" panose="02020603050405020304" pitchFamily="18" charset="0"/>
            </a:rPr>
            <a:t> alle rådata på overlevelse fra udtørringsforsøgene </a:t>
          </a:r>
          <a:r>
            <a:rPr lang="da-DK" sz="1200" baseline="0">
              <a:solidFill>
                <a:sysClr val="windowText" lastClr="000000"/>
              </a:solidFill>
              <a:latin typeface="Times New Roman" panose="02020603050405020304" pitchFamily="18" charset="0"/>
              <a:cs typeface="Times New Roman" panose="02020603050405020304" pitchFamily="18" charset="0"/>
            </a:rPr>
            <a:t>udført 2013-2015</a:t>
          </a:r>
          <a:r>
            <a:rPr lang="da-DK" sz="1200" baseline="0">
              <a:latin typeface="Times New Roman" panose="02020603050405020304" pitchFamily="18" charset="0"/>
              <a:cs typeface="Times New Roman" panose="02020603050405020304" pitchFamily="18" charset="0"/>
            </a:rPr>
            <a:t>. Der er 5 ark i denne excel fil:</a:t>
          </a:r>
        </a:p>
        <a:p>
          <a:pPr algn="l"/>
          <a:endParaRPr lang="da-DK" sz="1200" baseline="0">
            <a:latin typeface="Times New Roman" panose="02020603050405020304" pitchFamily="18" charset="0"/>
            <a:cs typeface="Times New Roman" panose="02020603050405020304" pitchFamily="18"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da-DK" sz="1200" b="1" baseline="0">
              <a:latin typeface="Times New Roman" panose="02020603050405020304" pitchFamily="18" charset="0"/>
              <a:cs typeface="Times New Roman" panose="02020603050405020304" pitchFamily="18" charset="0"/>
            </a:rPr>
            <a:t>1 - Filterpapir SW: </a:t>
          </a:r>
          <a:r>
            <a:rPr lang="da-DK" sz="1200" baseline="0">
              <a:latin typeface="Times New Roman" panose="02020603050405020304" pitchFamily="18" charset="0"/>
              <a:cs typeface="Times New Roman" panose="02020603050405020304" pitchFamily="18" charset="0"/>
            </a:rPr>
            <a:t>Dette ark indholder activity recovery data på de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Echiniscoides sigismundi</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har været tørret ud fra saltvand på filterpapir. </a:t>
          </a:r>
          <a:endParaRPr lang="da-DK" sz="1200" baseline="0">
            <a:latin typeface="Times New Roman" panose="02020603050405020304" pitchFamily="18" charset="0"/>
            <a:cs typeface="Times New Roman" panose="02020603050405020304" pitchFamily="18"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da-DK" sz="1200" b="1" baseline="0">
              <a:latin typeface="Times New Roman" panose="02020603050405020304" pitchFamily="18" charset="0"/>
              <a:cs typeface="Times New Roman" panose="02020603050405020304" pitchFamily="18" charset="0"/>
            </a:rPr>
            <a:t>2 - Filterpapir dH2O:</a:t>
          </a:r>
          <a:r>
            <a:rPr lang="da-DK" sz="1200" baseline="0">
              <a:latin typeface="Times New Roman" panose="02020603050405020304" pitchFamily="18" charset="0"/>
              <a:cs typeface="Times New Roman" panose="02020603050405020304" pitchFamily="18" charset="0"/>
            </a:rPr>
            <a:t> </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Dette ark indholder activity recovery data på de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Echiniscoides sigismundi</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har været tørret ud </a:t>
          </a:r>
          <a:r>
            <a:rPr kumimoji="0" lang="da-DK"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fra dH20 på </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filterpapir. </a:t>
          </a:r>
        </a:p>
        <a:p>
          <a:pPr marL="457200" marR="0" lvl="1" indent="0" algn="l" defTabSz="914400" eaLnBrk="1" fontAlgn="auto" latinLnBrk="0" hangingPunct="1">
            <a:lnSpc>
              <a:spcPct val="100000"/>
            </a:lnSpc>
            <a:spcBef>
              <a:spcPts val="0"/>
            </a:spcBef>
            <a:spcAft>
              <a:spcPts val="0"/>
            </a:spcAft>
            <a:buClrTx/>
            <a:buSzTx/>
            <a:buFontTx/>
            <a:buNone/>
            <a:tabLst/>
            <a:defRPr/>
          </a:pPr>
          <a:r>
            <a:rPr lang="da-DK" sz="1200" b="1" baseline="0">
              <a:latin typeface="Times New Roman" panose="02020603050405020304" pitchFamily="18" charset="0"/>
              <a:cs typeface="Times New Roman" panose="02020603050405020304" pitchFamily="18" charset="0"/>
            </a:rPr>
            <a:t>3 - Glass surface:</a:t>
          </a:r>
          <a:r>
            <a:rPr lang="da-DK" sz="1200" b="0" baseline="0">
              <a:latin typeface="Times New Roman" panose="02020603050405020304" pitchFamily="18" charset="0"/>
              <a:cs typeface="Times New Roman" panose="02020603050405020304" pitchFamily="18" charset="0"/>
            </a:rPr>
            <a:t> </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Dette ark indholder activity recovery data på de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Echiniscoides sigismundi</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har været tørret ud fra saltvand direkte på saltkar. </a:t>
          </a:r>
        </a:p>
        <a:p>
          <a:pPr marL="457200" marR="0" lvl="1" indent="0" algn="l" defTabSz="914400" eaLnBrk="1" fontAlgn="auto" latinLnBrk="0" hangingPunct="1">
            <a:lnSpc>
              <a:spcPct val="100000"/>
            </a:lnSpc>
            <a:spcBef>
              <a:spcPts val="0"/>
            </a:spcBef>
            <a:spcAft>
              <a:spcPts val="0"/>
            </a:spcAft>
            <a:buClrTx/>
            <a:buSzTx/>
            <a:buFontTx/>
            <a:buNone/>
            <a:tabLst/>
            <a:defRPr/>
          </a:pPr>
          <a:r>
            <a:rPr kumimoji="0" lang="da-DK"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4 - Hedgehog spines:</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Dette ark indholder activity recovery data på de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Echiniscoides sigismundi</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har været tørret ud fra saltvand på pindsvinepigge. </a:t>
          </a:r>
        </a:p>
        <a:p>
          <a:pPr marL="457200" marR="0" lvl="1" indent="0" algn="l" defTabSz="914400" eaLnBrk="1" fontAlgn="auto" latinLnBrk="0" hangingPunct="1">
            <a:lnSpc>
              <a:spcPct val="100000"/>
            </a:lnSpc>
            <a:spcBef>
              <a:spcPts val="0"/>
            </a:spcBef>
            <a:spcAft>
              <a:spcPts val="0"/>
            </a:spcAft>
            <a:buClrTx/>
            <a:buSzTx/>
            <a:buFontTx/>
            <a:buNone/>
            <a:tabLst/>
            <a:defRPr/>
          </a:pPr>
          <a:r>
            <a:rPr kumimoji="0" lang="da-DK"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5 - Insect needles:</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Dette ark indholder activity recovery data på de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Echiniscoides sigismundi</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har været tørret ud fra saltvand på insektnåle. </a:t>
          </a:r>
        </a:p>
        <a:p>
          <a:pPr marL="457200" marR="0" lvl="1" indent="0" algn="l" defTabSz="914400" eaLnBrk="1" fontAlgn="auto" latinLnBrk="0" hangingPunct="1">
            <a:lnSpc>
              <a:spcPct val="100000"/>
            </a:lnSpc>
            <a:spcBef>
              <a:spcPts val="0"/>
            </a:spcBef>
            <a:spcAft>
              <a:spcPts val="0"/>
            </a:spcAft>
            <a:buClrTx/>
            <a:buSzTx/>
            <a:buFontTx/>
            <a:buNone/>
            <a:tabLst/>
            <a:defRPr/>
          </a:pPr>
          <a:r>
            <a:rPr kumimoji="0" lang="da-DK"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6 - Plastic needles:</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Dette ark indholder activity recovery data på de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Echiniscoides sigismundi</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har været tørret ud fra saltvand på plastiknåle. </a:t>
          </a:r>
          <a:endParaRPr kumimoji="0" lang="da-DK"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kumimoji="0" lang="da-DK" sz="12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7 - R. coronifer glass:</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Dette ark indholder activity recovery data på </a:t>
          </a:r>
          <a:r>
            <a:rPr kumimoji="0" lang="da-DK" sz="1200" b="0" i="1"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Richtersius coronifer</a:t>
          </a:r>
          <a:r>
            <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som er blevet tørret ud direkte på saltkar. Disse data indgår pt. ikke i artiklen.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da-DK"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lvl="0" algn="l"/>
          <a:r>
            <a:rPr lang="da-DK" sz="1200" b="0">
              <a:latin typeface="Times New Roman" panose="02020603050405020304" pitchFamily="18" charset="0"/>
              <a:cs typeface="Times New Roman" panose="02020603050405020304" pitchFamily="18" charset="0"/>
            </a:rPr>
            <a:t>Udover</a:t>
          </a:r>
          <a:r>
            <a:rPr lang="da-DK" sz="1200" b="0" baseline="0">
              <a:latin typeface="Times New Roman" panose="02020603050405020304" pitchFamily="18" charset="0"/>
              <a:cs typeface="Times New Roman" panose="02020603050405020304" pitchFamily="18" charset="0"/>
            </a:rPr>
            <a:t> det data som er angivet, skal man være opmærksom på at dyrene, da de blev udvalgt til forsøg, alle sammen blev tjekket, og de er kun blevet brugt, under forudsætning af at de udvist god aktivitet inden forsøggstart. Det vil sige at alle dyrene oprindeligt har været hvad der svarer til "A+" i den klassifikation vi bruger i arket her.  </a:t>
          </a:r>
        </a:p>
        <a:p>
          <a:pPr lvl="0" algn="l"/>
          <a:r>
            <a:rPr lang="da-DK" sz="1200" b="0" baseline="0">
              <a:latin typeface="Times New Roman" panose="02020603050405020304" pitchFamily="18" charset="0"/>
              <a:cs typeface="Times New Roman" panose="02020603050405020304" pitchFamily="18" charset="0"/>
            </a:rPr>
            <a:t>Tidspunkterne i arket er angivet fra rehydrering, det vil sige at 0h svarer til det tidspunkt hvor dyrene er blevet rehydreret. </a:t>
          </a:r>
        </a:p>
        <a:p>
          <a:pPr lvl="0" algn="l"/>
          <a:r>
            <a:rPr lang="da-DK" sz="1200" b="0" baseline="0">
              <a:latin typeface="Times New Roman" panose="02020603050405020304" pitchFamily="18" charset="0"/>
              <a:cs typeface="Times New Roman" panose="02020603050405020304" pitchFamily="18" charset="0"/>
            </a:rPr>
            <a:t>Bemærk at i det dataark som blev sendt ud i forbindelse med Tun-paperet, havde vi extrapoleret antal inaktive dyr ved tiderne 5 min, 30 min og 2 h, sådan at summen svarede til det højeste antal observerede dyr. Det har vi ikke gjort i dette ark og derfor ser antal inaktive dyr til disse 3 tidspunkter forskellige ud, hvis man sammenligner med tun-paper dataarket.  I labbogen er der for en del af forsøgene afnørt aktiviteter ved 1 min post rehydrering. desuden findes der en lille smule data på aktivetet af </a:t>
          </a:r>
          <a:r>
            <a:rPr lang="da-DK" sz="1200" b="0" i="1" baseline="0">
              <a:latin typeface="Times New Roman" panose="02020603050405020304" pitchFamily="18" charset="0"/>
              <a:cs typeface="Times New Roman" panose="02020603050405020304" pitchFamily="18" charset="0"/>
            </a:rPr>
            <a:t>Echiniscoides sigismundi</a:t>
          </a:r>
          <a:r>
            <a:rPr lang="da-DK" sz="1200" b="0" i="0" baseline="0">
              <a:latin typeface="Times New Roman" panose="02020603050405020304" pitchFamily="18" charset="0"/>
              <a:cs typeface="Times New Roman" panose="02020603050405020304" pitchFamily="18" charset="0"/>
            </a:rPr>
            <a:t> udtørret direkte på glas fra dH2O. Hvis man ønsker at tilgå dette data findes labbøgerne på hylden monteret på væggen der vender ud imod jagtvej i det bagerste kontor i endelab. </a:t>
          </a:r>
          <a:endParaRPr lang="da-DK" sz="1200" b="0" baseline="0">
            <a:latin typeface="Times New Roman" panose="02020603050405020304" pitchFamily="18" charset="0"/>
            <a:cs typeface="Times New Roman" panose="02020603050405020304" pitchFamily="18" charset="0"/>
          </a:endParaRPr>
        </a:p>
        <a:p>
          <a:pPr lvl="0" algn="l"/>
          <a:endParaRPr lang="da-DK" sz="1200" b="0" baseline="0">
            <a:latin typeface="Times New Roman" panose="02020603050405020304" pitchFamily="18" charset="0"/>
            <a:cs typeface="Times New Roman" panose="02020603050405020304" pitchFamily="18" charset="0"/>
          </a:endParaRPr>
        </a:p>
        <a:p>
          <a:pPr lvl="0" algn="l"/>
          <a:r>
            <a:rPr lang="da-DK" sz="1200" b="0" baseline="0">
              <a:latin typeface="Times New Roman" panose="02020603050405020304" pitchFamily="18" charset="0"/>
              <a:cs typeface="Times New Roman" panose="02020603050405020304" pitchFamily="18" charset="0"/>
            </a:rPr>
            <a:t>Dataene i dette ark er blevet gennemset af henholdvist Dannie Fobian og Trine Sørensen-Hygum (fhv. Sørensen), i samarbejde med Thomas Sørensen-Hygum (fhv. Hygum). </a:t>
          </a:r>
        </a:p>
        <a:p>
          <a:pPr lvl="0" algn="l"/>
          <a:endParaRPr lang="da-DK" sz="12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ctr">
          <a:defRPr sz="1400">
            <a:latin typeface="Times New Roman" panose="02020603050405020304" pitchFamily="18" charset="0"/>
            <a:cs typeface="Times New Roman" panose="02020603050405020304"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 workbookViewId="0">
      <selection activeCell="M15" sqref="M15"/>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55"/>
  <sheetViews>
    <sheetView zoomScale="111" zoomScaleNormal="85" workbookViewId="0">
      <pane xSplit="4" ySplit="2" topLeftCell="E225" activePane="bottomRight" state="frozen"/>
      <selection pane="topRight" activeCell="D1" sqref="D1"/>
      <selection pane="bottomLeft" activeCell="A3" sqref="A3"/>
      <selection pane="bottomRight" activeCell="I125" sqref="I125:L255"/>
    </sheetView>
  </sheetViews>
  <sheetFormatPr baseColWidth="10" defaultColWidth="8.83203125" defaultRowHeight="15" x14ac:dyDescent="0.2"/>
  <cols>
    <col min="3" max="3" width="8.83203125" style="33"/>
    <col min="4" max="4" width="13" bestFit="1" customWidth="1"/>
    <col min="5" max="5" width="19.33203125" customWidth="1"/>
    <col min="9" max="9" width="5.1640625" bestFit="1" customWidth="1"/>
    <col min="11" max="11" width="4.33203125" customWidth="1"/>
    <col min="14" max="14" width="4.33203125" bestFit="1" customWidth="1"/>
    <col min="18" max="18" width="5.33203125" bestFit="1" customWidth="1"/>
    <col min="22" max="22" width="6.5" customWidth="1"/>
    <col min="27" max="27" width="6.5" customWidth="1"/>
    <col min="35" max="35" width="5.5" bestFit="1" customWidth="1"/>
    <col min="38" max="38" width="3.1640625" bestFit="1" customWidth="1"/>
    <col min="56" max="56" width="4" bestFit="1" customWidth="1"/>
    <col min="57" max="57" width="2.5" bestFit="1" customWidth="1"/>
    <col min="58" max="58" width="3" bestFit="1" customWidth="1"/>
    <col min="59" max="59" width="2.6640625" bestFit="1" customWidth="1"/>
    <col min="60" max="60" width="5.6640625" bestFit="1" customWidth="1"/>
    <col min="61" max="61" width="23" bestFit="1" customWidth="1"/>
  </cols>
  <sheetData>
    <row r="1" spans="1:32" x14ac:dyDescent="0.2">
      <c r="A1" s="1" t="s">
        <v>0</v>
      </c>
      <c r="B1" s="2" t="s">
        <v>1</v>
      </c>
      <c r="C1" s="2"/>
      <c r="D1" s="3"/>
      <c r="E1" s="4" t="s">
        <v>2</v>
      </c>
      <c r="F1" s="5" t="s">
        <v>3</v>
      </c>
      <c r="G1" s="2"/>
      <c r="H1" s="2"/>
      <c r="I1" s="1"/>
      <c r="J1" s="74" t="s">
        <v>4</v>
      </c>
      <c r="K1" s="2"/>
      <c r="L1" s="2"/>
      <c r="M1" s="2"/>
      <c r="N1" s="5" t="s">
        <v>5</v>
      </c>
      <c r="O1" s="2"/>
      <c r="P1" s="2"/>
      <c r="Q1" s="2"/>
      <c r="R1" s="5" t="s">
        <v>6</v>
      </c>
      <c r="S1" s="2"/>
      <c r="T1" s="2"/>
      <c r="U1" s="2"/>
      <c r="V1" s="2"/>
      <c r="W1" s="5" t="s">
        <v>7</v>
      </c>
      <c r="X1" s="2"/>
      <c r="Y1" s="2"/>
      <c r="Z1" s="2"/>
      <c r="AA1" s="2"/>
      <c r="AB1" s="5"/>
      <c r="AF1" t="s">
        <v>8</v>
      </c>
    </row>
    <row r="2" spans="1:32" x14ac:dyDescent="0.2">
      <c r="D2" s="6"/>
      <c r="E2" s="7"/>
      <c r="F2" s="8" t="s">
        <v>9</v>
      </c>
      <c r="G2" s="9" t="s">
        <v>10</v>
      </c>
      <c r="H2" s="9" t="s">
        <v>11</v>
      </c>
      <c r="I2" s="68" t="s">
        <v>12</v>
      </c>
      <c r="J2" s="9" t="s">
        <v>9</v>
      </c>
      <c r="K2" s="9" t="s">
        <v>10</v>
      </c>
      <c r="L2" s="9" t="s">
        <v>11</v>
      </c>
      <c r="M2" s="9" t="s">
        <v>12</v>
      </c>
      <c r="N2" s="8" t="s">
        <v>9</v>
      </c>
      <c r="O2" s="9" t="s">
        <v>10</v>
      </c>
      <c r="P2" s="9" t="s">
        <v>11</v>
      </c>
      <c r="Q2" s="9" t="s">
        <v>12</v>
      </c>
      <c r="R2" s="8" t="s">
        <v>9</v>
      </c>
      <c r="S2" s="9" t="s">
        <v>10</v>
      </c>
      <c r="T2" s="9" t="s">
        <v>11</v>
      </c>
      <c r="U2" s="9" t="s">
        <v>12</v>
      </c>
      <c r="V2" s="9" t="s">
        <v>13</v>
      </c>
      <c r="W2" s="8" t="s">
        <v>9</v>
      </c>
      <c r="X2" s="9" t="s">
        <v>10</v>
      </c>
      <c r="Y2" s="9" t="s">
        <v>11</v>
      </c>
      <c r="Z2" s="9" t="s">
        <v>12</v>
      </c>
      <c r="AA2" s="9" t="s">
        <v>14</v>
      </c>
      <c r="AB2" s="6"/>
    </row>
    <row r="3" spans="1:32" x14ac:dyDescent="0.2">
      <c r="D3" s="11" t="s">
        <v>15</v>
      </c>
      <c r="E3" s="12"/>
      <c r="F3" s="6"/>
      <c r="I3" s="43"/>
      <c r="J3" s="15"/>
      <c r="N3" s="6"/>
      <c r="R3" s="6"/>
      <c r="W3" s="6"/>
      <c r="AB3" s="6"/>
    </row>
    <row r="4" spans="1:32" x14ac:dyDescent="0.2">
      <c r="D4" s="11" t="s">
        <v>16</v>
      </c>
      <c r="F4" s="6"/>
      <c r="I4" s="43"/>
      <c r="J4" s="15"/>
      <c r="N4" s="6"/>
      <c r="R4" s="6"/>
      <c r="W4" s="6"/>
      <c r="AB4" s="6"/>
    </row>
    <row r="5" spans="1:32" x14ac:dyDescent="0.2">
      <c r="B5" s="13">
        <v>41561</v>
      </c>
      <c r="C5" s="33">
        <v>2</v>
      </c>
      <c r="D5" s="6" t="s">
        <v>17</v>
      </c>
      <c r="E5" s="14">
        <f>31*60</f>
        <v>1860</v>
      </c>
      <c r="F5" s="6">
        <v>2</v>
      </c>
      <c r="G5">
        <v>0</v>
      </c>
      <c r="H5" t="s">
        <v>247</v>
      </c>
      <c r="I5" s="43">
        <v>0</v>
      </c>
      <c r="J5" s="15">
        <v>5</v>
      </c>
      <c r="K5">
        <v>1</v>
      </c>
      <c r="L5" t="s">
        <v>247</v>
      </c>
      <c r="M5">
        <v>0</v>
      </c>
      <c r="N5" s="6">
        <v>8</v>
      </c>
      <c r="O5">
        <v>3</v>
      </c>
      <c r="P5" t="s">
        <v>247</v>
      </c>
      <c r="Q5">
        <v>0</v>
      </c>
      <c r="R5" s="6">
        <v>14</v>
      </c>
      <c r="S5">
        <v>4</v>
      </c>
      <c r="T5">
        <v>0</v>
      </c>
      <c r="U5">
        <v>0</v>
      </c>
      <c r="V5" s="14">
        <f>SUM(R5:U5)</f>
        <v>18</v>
      </c>
      <c r="W5" s="6">
        <v>15</v>
      </c>
      <c r="X5">
        <v>2</v>
      </c>
      <c r="Y5">
        <v>1</v>
      </c>
      <c r="Z5">
        <v>0</v>
      </c>
      <c r="AA5" s="14">
        <f t="shared" ref="AA5:AA13" si="0">SUM(W5:Z5)</f>
        <v>18</v>
      </c>
      <c r="AB5" s="6"/>
    </row>
    <row r="6" spans="1:32" x14ac:dyDescent="0.2">
      <c r="B6" s="13">
        <v>41561</v>
      </c>
      <c r="C6" s="33">
        <v>2</v>
      </c>
      <c r="D6" s="6" t="s">
        <v>18</v>
      </c>
      <c r="E6" s="14">
        <f>32*60</f>
        <v>1920</v>
      </c>
      <c r="F6" s="6">
        <v>10</v>
      </c>
      <c r="G6">
        <v>1</v>
      </c>
      <c r="H6" t="s">
        <v>247</v>
      </c>
      <c r="I6" s="43">
        <v>0</v>
      </c>
      <c r="J6" s="15">
        <v>13</v>
      </c>
      <c r="K6">
        <v>0</v>
      </c>
      <c r="L6" t="s">
        <v>247</v>
      </c>
      <c r="M6">
        <v>0</v>
      </c>
      <c r="N6" s="6">
        <v>13</v>
      </c>
      <c r="O6">
        <v>2</v>
      </c>
      <c r="P6" t="s">
        <v>247</v>
      </c>
      <c r="Q6">
        <v>0</v>
      </c>
      <c r="R6" s="6">
        <v>17</v>
      </c>
      <c r="S6">
        <v>2</v>
      </c>
      <c r="T6">
        <v>0</v>
      </c>
      <c r="U6">
        <v>0</v>
      </c>
      <c r="V6" s="33">
        <f t="shared" ref="V6:V10" si="1">SUM(R6:U6)</f>
        <v>19</v>
      </c>
      <c r="W6" s="6">
        <v>20</v>
      </c>
      <c r="X6">
        <v>1</v>
      </c>
      <c r="Y6">
        <v>0</v>
      </c>
      <c r="Z6">
        <v>0</v>
      </c>
      <c r="AA6" s="14">
        <f t="shared" si="0"/>
        <v>21</v>
      </c>
      <c r="AB6" s="6"/>
    </row>
    <row r="7" spans="1:32" x14ac:dyDescent="0.2">
      <c r="B7" s="13">
        <v>41561</v>
      </c>
      <c r="C7" s="33">
        <v>2</v>
      </c>
      <c r="D7" s="6" t="s">
        <v>19</v>
      </c>
      <c r="E7" s="14">
        <f>25*60</f>
        <v>1500</v>
      </c>
      <c r="F7" s="6">
        <v>13</v>
      </c>
      <c r="G7">
        <v>2</v>
      </c>
      <c r="H7" t="s">
        <v>247</v>
      </c>
      <c r="I7" s="43">
        <v>0</v>
      </c>
      <c r="J7" s="15">
        <v>15</v>
      </c>
      <c r="K7">
        <v>0</v>
      </c>
      <c r="L7" t="s">
        <v>247</v>
      </c>
      <c r="M7">
        <v>0</v>
      </c>
      <c r="N7" s="6">
        <v>15</v>
      </c>
      <c r="O7">
        <v>2</v>
      </c>
      <c r="P7" t="s">
        <v>247</v>
      </c>
      <c r="Q7">
        <v>0</v>
      </c>
      <c r="R7" s="6">
        <v>16</v>
      </c>
      <c r="S7">
        <v>1</v>
      </c>
      <c r="T7" s="85">
        <v>0</v>
      </c>
      <c r="U7">
        <v>0</v>
      </c>
      <c r="V7" s="33">
        <f t="shared" si="1"/>
        <v>17</v>
      </c>
      <c r="W7" s="6">
        <v>19</v>
      </c>
      <c r="X7">
        <v>1</v>
      </c>
      <c r="Y7">
        <v>0</v>
      </c>
      <c r="Z7">
        <v>0</v>
      </c>
      <c r="AA7" s="14">
        <f t="shared" si="0"/>
        <v>20</v>
      </c>
      <c r="AB7" s="6"/>
    </row>
    <row r="8" spans="1:32" x14ac:dyDescent="0.2">
      <c r="B8" s="13">
        <v>41590</v>
      </c>
      <c r="C8" s="33">
        <v>2</v>
      </c>
      <c r="D8" s="6" t="s">
        <v>20</v>
      </c>
      <c r="E8" s="14">
        <f>13*60</f>
        <v>780</v>
      </c>
      <c r="F8" s="6">
        <v>1</v>
      </c>
      <c r="G8">
        <v>4</v>
      </c>
      <c r="H8" t="s">
        <v>247</v>
      </c>
      <c r="I8" s="43">
        <v>0</v>
      </c>
      <c r="J8" s="15">
        <v>6</v>
      </c>
      <c r="K8" s="15">
        <v>1</v>
      </c>
      <c r="L8" s="15" t="s">
        <v>247</v>
      </c>
      <c r="M8" s="15">
        <v>0</v>
      </c>
      <c r="N8" s="6">
        <v>9</v>
      </c>
      <c r="O8" s="15">
        <v>0</v>
      </c>
      <c r="P8" s="15" t="s">
        <v>247</v>
      </c>
      <c r="Q8" s="15">
        <v>0</v>
      </c>
      <c r="R8" s="6">
        <v>14</v>
      </c>
      <c r="S8">
        <v>2</v>
      </c>
      <c r="T8" s="85">
        <v>0</v>
      </c>
      <c r="U8">
        <v>0</v>
      </c>
      <c r="V8" s="33">
        <f t="shared" si="1"/>
        <v>16</v>
      </c>
      <c r="W8" s="6">
        <v>14</v>
      </c>
      <c r="X8" s="15">
        <v>3</v>
      </c>
      <c r="Y8" s="15">
        <v>0</v>
      </c>
      <c r="Z8" s="15">
        <v>0</v>
      </c>
      <c r="AA8" s="14">
        <f t="shared" si="0"/>
        <v>17</v>
      </c>
      <c r="AB8" s="6"/>
    </row>
    <row r="9" spans="1:32" x14ac:dyDescent="0.2">
      <c r="B9" s="13">
        <v>41590</v>
      </c>
      <c r="C9" s="33">
        <v>2</v>
      </c>
      <c r="D9" s="6" t="s">
        <v>21</v>
      </c>
      <c r="E9" s="14">
        <f>12.5*60</f>
        <v>750</v>
      </c>
      <c r="F9" s="6">
        <v>1</v>
      </c>
      <c r="G9">
        <v>1</v>
      </c>
      <c r="H9" t="s">
        <v>247</v>
      </c>
      <c r="I9" s="43">
        <v>0</v>
      </c>
      <c r="J9" s="15">
        <v>8</v>
      </c>
      <c r="K9" s="15">
        <v>0</v>
      </c>
      <c r="L9" s="15" t="s">
        <v>247</v>
      </c>
      <c r="M9" s="15">
        <v>0</v>
      </c>
      <c r="N9" s="6">
        <v>12</v>
      </c>
      <c r="O9" s="15">
        <v>0</v>
      </c>
      <c r="P9" s="15" t="s">
        <v>247</v>
      </c>
      <c r="Q9" s="15">
        <v>0</v>
      </c>
      <c r="R9" s="6">
        <v>17</v>
      </c>
      <c r="S9">
        <v>1</v>
      </c>
      <c r="T9" s="85">
        <v>0</v>
      </c>
      <c r="U9">
        <v>0</v>
      </c>
      <c r="V9" s="33">
        <f t="shared" si="1"/>
        <v>18</v>
      </c>
      <c r="W9" s="6">
        <v>23</v>
      </c>
      <c r="X9" s="15">
        <v>0</v>
      </c>
      <c r="Y9" s="15">
        <v>0</v>
      </c>
      <c r="Z9" s="15">
        <v>0</v>
      </c>
      <c r="AA9" s="14">
        <f t="shared" si="0"/>
        <v>23</v>
      </c>
      <c r="AB9" s="6"/>
    </row>
    <row r="10" spans="1:32" x14ac:dyDescent="0.2">
      <c r="A10" s="14"/>
      <c r="B10" s="13">
        <v>41590</v>
      </c>
      <c r="C10" s="33">
        <v>2</v>
      </c>
      <c r="D10" s="6" t="s">
        <v>22</v>
      </c>
      <c r="E10" s="14">
        <f>12*60</f>
        <v>720</v>
      </c>
      <c r="F10" s="6">
        <v>1</v>
      </c>
      <c r="G10">
        <v>2</v>
      </c>
      <c r="H10" t="s">
        <v>247</v>
      </c>
      <c r="I10" s="43">
        <v>0</v>
      </c>
      <c r="J10" s="15">
        <v>8</v>
      </c>
      <c r="K10" s="15">
        <v>0</v>
      </c>
      <c r="L10" s="15" t="s">
        <v>247</v>
      </c>
      <c r="M10" s="15">
        <v>0</v>
      </c>
      <c r="N10" s="6">
        <v>5</v>
      </c>
      <c r="O10" s="15">
        <v>2</v>
      </c>
      <c r="P10" s="15" t="s">
        <v>247</v>
      </c>
      <c r="Q10" s="15">
        <v>0</v>
      </c>
      <c r="R10" s="6">
        <v>12</v>
      </c>
      <c r="S10">
        <v>2</v>
      </c>
      <c r="T10" s="85">
        <v>0</v>
      </c>
      <c r="U10">
        <v>0</v>
      </c>
      <c r="V10" s="33">
        <f t="shared" si="1"/>
        <v>14</v>
      </c>
      <c r="W10" s="6">
        <v>16</v>
      </c>
      <c r="X10" s="15">
        <v>2</v>
      </c>
      <c r="Y10" s="15">
        <v>1</v>
      </c>
      <c r="Z10" s="15">
        <v>0</v>
      </c>
      <c r="AA10" s="14">
        <f t="shared" si="0"/>
        <v>19</v>
      </c>
      <c r="AB10" s="6"/>
      <c r="AF10" s="73"/>
    </row>
    <row r="11" spans="1:32" x14ac:dyDescent="0.2">
      <c r="A11" s="33" t="s">
        <v>140</v>
      </c>
      <c r="B11" s="13">
        <v>42108</v>
      </c>
      <c r="C11" s="33">
        <v>2</v>
      </c>
      <c r="D11" s="6" t="s">
        <v>137</v>
      </c>
      <c r="E11" s="33">
        <f>17.5*60</f>
        <v>1050</v>
      </c>
      <c r="F11" s="6">
        <v>5</v>
      </c>
      <c r="G11" s="33">
        <v>0</v>
      </c>
      <c r="H11" s="46">
        <v>15</v>
      </c>
      <c r="I11" s="56">
        <v>0</v>
      </c>
      <c r="J11" s="15">
        <v>10</v>
      </c>
      <c r="K11" s="46">
        <v>4</v>
      </c>
      <c r="L11" s="46">
        <v>6</v>
      </c>
      <c r="M11" s="46">
        <v>0</v>
      </c>
      <c r="N11" s="6">
        <v>15</v>
      </c>
      <c r="O11" s="46">
        <v>2</v>
      </c>
      <c r="P11" s="46">
        <v>3</v>
      </c>
      <c r="Q11" s="46">
        <v>0</v>
      </c>
      <c r="R11" s="6">
        <v>15</v>
      </c>
      <c r="S11" s="46">
        <v>3</v>
      </c>
      <c r="T11" s="46">
        <v>2</v>
      </c>
      <c r="U11" s="46">
        <v>0</v>
      </c>
      <c r="V11" s="33">
        <f t="shared" ref="V11:V13" si="2">SUM(R11:U11)</f>
        <v>20</v>
      </c>
      <c r="W11" s="6">
        <v>14</v>
      </c>
      <c r="X11" s="46">
        <v>4</v>
      </c>
      <c r="Y11" s="46">
        <v>2</v>
      </c>
      <c r="Z11" s="46">
        <v>0</v>
      </c>
      <c r="AA11" s="33">
        <f t="shared" si="0"/>
        <v>20</v>
      </c>
      <c r="AB11" s="6"/>
      <c r="AC11" s="33"/>
      <c r="AD11" s="33"/>
      <c r="AE11" s="33"/>
    </row>
    <row r="12" spans="1:32" x14ac:dyDescent="0.2">
      <c r="A12" s="33" t="s">
        <v>140</v>
      </c>
      <c r="B12" s="13">
        <v>42108</v>
      </c>
      <c r="C12" s="33">
        <v>2</v>
      </c>
      <c r="D12" s="6" t="s">
        <v>138</v>
      </c>
      <c r="E12" s="33">
        <f>20.5*60</f>
        <v>1230</v>
      </c>
      <c r="F12" s="6">
        <v>4</v>
      </c>
      <c r="G12" s="33">
        <v>1</v>
      </c>
      <c r="H12" s="46">
        <v>10</v>
      </c>
      <c r="I12" s="56">
        <v>0</v>
      </c>
      <c r="J12" s="15">
        <v>12</v>
      </c>
      <c r="K12" s="46">
        <v>2</v>
      </c>
      <c r="L12" s="46">
        <v>1</v>
      </c>
      <c r="M12" s="46">
        <v>0</v>
      </c>
      <c r="N12" s="6">
        <v>11</v>
      </c>
      <c r="O12" s="46">
        <v>2</v>
      </c>
      <c r="P12" s="46">
        <v>2</v>
      </c>
      <c r="Q12" s="46">
        <v>0</v>
      </c>
      <c r="R12" s="6">
        <v>11</v>
      </c>
      <c r="S12" s="46">
        <v>4</v>
      </c>
      <c r="T12" s="46">
        <v>1</v>
      </c>
      <c r="U12" s="46">
        <v>0</v>
      </c>
      <c r="V12" s="33">
        <f t="shared" si="2"/>
        <v>16</v>
      </c>
      <c r="W12" s="6">
        <v>10</v>
      </c>
      <c r="X12" s="46">
        <v>2</v>
      </c>
      <c r="Y12" s="46">
        <v>3</v>
      </c>
      <c r="Z12" s="46">
        <v>0</v>
      </c>
      <c r="AA12" s="33">
        <f t="shared" si="0"/>
        <v>15</v>
      </c>
      <c r="AB12" s="6"/>
      <c r="AC12" s="33"/>
      <c r="AD12" s="33"/>
      <c r="AE12" s="33"/>
    </row>
    <row r="13" spans="1:32" x14ac:dyDescent="0.2">
      <c r="A13" s="33" t="s">
        <v>140</v>
      </c>
      <c r="B13" s="13">
        <v>42108</v>
      </c>
      <c r="C13" s="33">
        <v>2</v>
      </c>
      <c r="D13" s="6" t="s">
        <v>139</v>
      </c>
      <c r="E13" s="33">
        <f>22.5*60</f>
        <v>1350</v>
      </c>
      <c r="F13" s="6">
        <v>8</v>
      </c>
      <c r="G13" s="33">
        <v>2</v>
      </c>
      <c r="H13" s="46">
        <v>6</v>
      </c>
      <c r="I13" s="56">
        <v>0</v>
      </c>
      <c r="J13" s="15">
        <v>11</v>
      </c>
      <c r="K13" s="46">
        <v>1</v>
      </c>
      <c r="L13" s="46">
        <v>4</v>
      </c>
      <c r="M13" s="46">
        <v>0</v>
      </c>
      <c r="N13" s="6">
        <v>13</v>
      </c>
      <c r="O13" s="46">
        <v>1</v>
      </c>
      <c r="P13" s="46">
        <v>2</v>
      </c>
      <c r="Q13" s="46">
        <v>0</v>
      </c>
      <c r="R13" s="6">
        <v>11</v>
      </c>
      <c r="S13" s="46">
        <v>2</v>
      </c>
      <c r="T13" s="46">
        <v>3</v>
      </c>
      <c r="U13" s="46">
        <v>0</v>
      </c>
      <c r="V13" s="33">
        <f t="shared" si="2"/>
        <v>16</v>
      </c>
      <c r="W13" s="6">
        <v>11</v>
      </c>
      <c r="X13" s="46">
        <v>2</v>
      </c>
      <c r="Y13" s="46">
        <v>3</v>
      </c>
      <c r="Z13" s="46">
        <v>0</v>
      </c>
      <c r="AA13" s="33">
        <f t="shared" si="0"/>
        <v>16</v>
      </c>
      <c r="AB13" s="6"/>
      <c r="AC13" s="33"/>
      <c r="AD13" s="33"/>
      <c r="AE13" s="33"/>
    </row>
    <row r="14" spans="1:32" x14ac:dyDescent="0.2">
      <c r="A14" s="14"/>
      <c r="D14" s="16" t="s">
        <v>23</v>
      </c>
      <c r="E14" s="17">
        <f>AVERAGE(E5:E13)</f>
        <v>1240</v>
      </c>
      <c r="F14" s="16"/>
      <c r="G14" s="18"/>
      <c r="H14" s="18"/>
      <c r="I14" s="36"/>
      <c r="J14" s="57"/>
      <c r="K14" s="18"/>
      <c r="L14" s="18"/>
      <c r="M14" s="18"/>
      <c r="N14" s="16"/>
      <c r="O14" s="18"/>
      <c r="P14" s="18"/>
      <c r="Q14" s="18"/>
      <c r="R14" s="16"/>
      <c r="S14" s="18"/>
      <c r="T14" s="18"/>
      <c r="U14" s="18"/>
      <c r="V14" s="18">
        <f>AVERAGE(V5:V13)</f>
        <v>17.111111111111111</v>
      </c>
      <c r="W14" s="16"/>
      <c r="X14" s="18"/>
      <c r="Y14" s="18"/>
      <c r="Z14" s="18"/>
      <c r="AA14" s="18">
        <f>AVERAGE(AA5:AA13)</f>
        <v>18.777777777777779</v>
      </c>
      <c r="AB14" s="6"/>
    </row>
    <row r="15" spans="1:32" x14ac:dyDescent="0.2">
      <c r="D15" s="19" t="s">
        <v>14</v>
      </c>
      <c r="E15" s="20"/>
      <c r="F15" s="19"/>
      <c r="G15" s="20"/>
      <c r="H15" s="20"/>
      <c r="I15" s="21"/>
      <c r="J15" s="75"/>
      <c r="K15" s="20"/>
      <c r="L15" s="20"/>
      <c r="M15" s="20"/>
      <c r="N15" s="19"/>
      <c r="O15" s="20"/>
      <c r="P15" s="20"/>
      <c r="Q15" s="20"/>
      <c r="R15" s="19"/>
      <c r="S15" s="20"/>
      <c r="T15" s="20"/>
      <c r="U15" s="20"/>
      <c r="V15" s="21">
        <f>SUM(V5:V13)</f>
        <v>154</v>
      </c>
      <c r="W15" s="22"/>
      <c r="X15" s="20"/>
      <c r="Y15" s="20"/>
      <c r="Z15" s="20"/>
      <c r="AA15" s="20">
        <f>SUM(AA5:AA13)</f>
        <v>169</v>
      </c>
      <c r="AB15" s="6"/>
    </row>
    <row r="16" spans="1:32" x14ac:dyDescent="0.2">
      <c r="A16" s="23"/>
      <c r="B16" s="23"/>
      <c r="C16" s="23"/>
      <c r="D16" s="24" t="s">
        <v>24</v>
      </c>
      <c r="E16" s="23"/>
      <c r="F16" s="25"/>
      <c r="G16" s="23"/>
      <c r="H16" s="23"/>
      <c r="I16" s="26"/>
      <c r="J16" s="23"/>
      <c r="K16" s="23"/>
      <c r="L16" s="23"/>
      <c r="M16" s="23"/>
      <c r="N16" s="25"/>
      <c r="O16" s="23"/>
      <c r="P16" s="23"/>
      <c r="Q16" s="23"/>
      <c r="R16" s="25"/>
      <c r="S16" s="23"/>
      <c r="T16" s="23"/>
      <c r="U16" s="23"/>
      <c r="V16" s="26"/>
      <c r="W16" s="25"/>
      <c r="X16" s="23"/>
      <c r="Y16" s="23"/>
      <c r="Z16" s="23"/>
      <c r="AA16" s="23"/>
      <c r="AB16" s="25"/>
    </row>
    <row r="17" spans="1:28" x14ac:dyDescent="0.2">
      <c r="A17" s="104"/>
      <c r="B17" s="84">
        <v>41507</v>
      </c>
      <c r="C17" s="33">
        <v>24</v>
      </c>
      <c r="D17" s="6" t="s">
        <v>25</v>
      </c>
      <c r="E17">
        <f>17*60</f>
        <v>1020</v>
      </c>
      <c r="F17" s="86">
        <v>2</v>
      </c>
      <c r="G17" s="85">
        <v>0</v>
      </c>
      <c r="H17" t="s">
        <v>247</v>
      </c>
      <c r="I17" s="43">
        <v>0</v>
      </c>
      <c r="J17" s="15">
        <v>17</v>
      </c>
      <c r="K17" s="15">
        <v>0</v>
      </c>
      <c r="L17" s="15" t="s">
        <v>247</v>
      </c>
      <c r="M17" s="15">
        <v>0</v>
      </c>
      <c r="N17" s="6">
        <v>18</v>
      </c>
      <c r="O17" s="15">
        <v>0</v>
      </c>
      <c r="P17" s="15">
        <v>1</v>
      </c>
      <c r="Q17" s="15">
        <v>0</v>
      </c>
      <c r="R17" s="6">
        <v>19</v>
      </c>
      <c r="S17">
        <v>1</v>
      </c>
      <c r="T17">
        <v>0</v>
      </c>
      <c r="U17">
        <v>0</v>
      </c>
      <c r="V17" s="14">
        <f t="shared" ref="V17:V24" si="3">SUM(R17:U17)</f>
        <v>20</v>
      </c>
      <c r="W17" s="6">
        <v>19</v>
      </c>
      <c r="X17" s="15">
        <v>0</v>
      </c>
      <c r="Y17" s="15">
        <v>1</v>
      </c>
      <c r="Z17" s="15">
        <v>0</v>
      </c>
      <c r="AA17" s="14">
        <f t="shared" ref="AA17:AA24" si="4">SUM(W17:Z17)</f>
        <v>20</v>
      </c>
      <c r="AB17" s="6"/>
    </row>
    <row r="18" spans="1:28" x14ac:dyDescent="0.2">
      <c r="A18" s="104"/>
      <c r="B18" s="84">
        <v>41507</v>
      </c>
      <c r="C18" s="33">
        <v>24</v>
      </c>
      <c r="D18" s="6" t="s">
        <v>26</v>
      </c>
      <c r="E18">
        <f>12*60</f>
        <v>720</v>
      </c>
      <c r="F18" s="6">
        <v>3</v>
      </c>
      <c r="G18">
        <v>0</v>
      </c>
      <c r="H18" t="s">
        <v>247</v>
      </c>
      <c r="I18" s="43">
        <v>0</v>
      </c>
      <c r="J18" s="15">
        <v>18</v>
      </c>
      <c r="K18" s="15">
        <v>0</v>
      </c>
      <c r="L18" s="15" t="s">
        <v>247</v>
      </c>
      <c r="M18" s="15">
        <v>0</v>
      </c>
      <c r="N18" s="6">
        <v>19</v>
      </c>
      <c r="O18" s="15">
        <v>0</v>
      </c>
      <c r="P18" s="15">
        <v>1</v>
      </c>
      <c r="Q18" s="15">
        <v>0</v>
      </c>
      <c r="R18" s="6">
        <v>18</v>
      </c>
      <c r="S18">
        <v>1</v>
      </c>
      <c r="T18">
        <v>1</v>
      </c>
      <c r="U18">
        <v>0</v>
      </c>
      <c r="V18" s="14">
        <f t="shared" si="3"/>
        <v>20</v>
      </c>
      <c r="W18" s="6">
        <v>18</v>
      </c>
      <c r="X18" s="15">
        <v>0</v>
      </c>
      <c r="Y18" s="15">
        <v>2</v>
      </c>
      <c r="Z18" s="15">
        <v>0</v>
      </c>
      <c r="AA18" s="14">
        <f t="shared" si="4"/>
        <v>20</v>
      </c>
      <c r="AB18" s="6"/>
    </row>
    <row r="19" spans="1:28" x14ac:dyDescent="0.2">
      <c r="B19" s="84">
        <v>41562</v>
      </c>
      <c r="C19" s="33">
        <v>24</v>
      </c>
      <c r="D19" s="6" t="s">
        <v>27</v>
      </c>
      <c r="E19" s="85">
        <f>32*60</f>
        <v>1920</v>
      </c>
      <c r="F19" s="6">
        <v>0</v>
      </c>
      <c r="G19">
        <v>0</v>
      </c>
      <c r="H19" t="s">
        <v>247</v>
      </c>
      <c r="I19" s="43">
        <v>0</v>
      </c>
      <c r="J19" s="15">
        <v>11</v>
      </c>
      <c r="K19">
        <v>2</v>
      </c>
      <c r="L19" t="s">
        <v>247</v>
      </c>
      <c r="M19">
        <v>0</v>
      </c>
      <c r="N19" s="6">
        <v>15</v>
      </c>
      <c r="O19">
        <v>0</v>
      </c>
      <c r="P19" t="s">
        <v>247</v>
      </c>
      <c r="Q19">
        <v>0</v>
      </c>
      <c r="R19" s="6">
        <v>20</v>
      </c>
      <c r="S19">
        <v>0</v>
      </c>
      <c r="T19">
        <v>0</v>
      </c>
      <c r="U19">
        <v>0</v>
      </c>
      <c r="V19" s="14">
        <f t="shared" si="3"/>
        <v>20</v>
      </c>
      <c r="W19" s="6">
        <v>21</v>
      </c>
      <c r="X19">
        <v>2</v>
      </c>
      <c r="Y19">
        <v>0</v>
      </c>
      <c r="Z19">
        <v>0</v>
      </c>
      <c r="AA19" s="14">
        <f t="shared" si="4"/>
        <v>23</v>
      </c>
      <c r="AB19" s="6"/>
    </row>
    <row r="20" spans="1:28" x14ac:dyDescent="0.2">
      <c r="B20" s="84">
        <v>41562</v>
      </c>
      <c r="C20" s="33">
        <v>24</v>
      </c>
      <c r="D20" s="6" t="s">
        <v>28</v>
      </c>
      <c r="E20" s="85">
        <f>45.5*60</f>
        <v>2730</v>
      </c>
      <c r="F20" s="6">
        <v>0</v>
      </c>
      <c r="G20">
        <v>0</v>
      </c>
      <c r="H20" t="s">
        <v>247</v>
      </c>
      <c r="I20" s="43">
        <v>0</v>
      </c>
      <c r="J20" s="15">
        <v>12</v>
      </c>
      <c r="K20">
        <v>2</v>
      </c>
      <c r="L20" t="s">
        <v>247</v>
      </c>
      <c r="M20">
        <v>0</v>
      </c>
      <c r="N20" s="6">
        <v>17</v>
      </c>
      <c r="O20">
        <v>1</v>
      </c>
      <c r="P20">
        <v>0</v>
      </c>
      <c r="Q20">
        <v>0</v>
      </c>
      <c r="R20" s="6">
        <v>16</v>
      </c>
      <c r="S20">
        <v>1</v>
      </c>
      <c r="T20">
        <v>0</v>
      </c>
      <c r="U20">
        <v>0</v>
      </c>
      <c r="V20" s="14">
        <f t="shared" si="3"/>
        <v>17</v>
      </c>
      <c r="W20" s="6">
        <v>17</v>
      </c>
      <c r="X20">
        <v>0</v>
      </c>
      <c r="Y20">
        <v>0</v>
      </c>
      <c r="Z20">
        <v>0</v>
      </c>
      <c r="AA20" s="14">
        <f t="shared" si="4"/>
        <v>17</v>
      </c>
      <c r="AB20" s="6"/>
    </row>
    <row r="21" spans="1:28" x14ac:dyDescent="0.2">
      <c r="B21" s="84">
        <v>41562</v>
      </c>
      <c r="C21" s="33">
        <v>24</v>
      </c>
      <c r="D21" s="6" t="s">
        <v>29</v>
      </c>
      <c r="E21" s="85">
        <f>42*60</f>
        <v>2520</v>
      </c>
      <c r="F21" s="6">
        <v>0</v>
      </c>
      <c r="G21">
        <v>0</v>
      </c>
      <c r="H21" t="s">
        <v>247</v>
      </c>
      <c r="I21" s="43">
        <v>0</v>
      </c>
      <c r="J21" s="15">
        <v>12</v>
      </c>
      <c r="K21">
        <v>3</v>
      </c>
      <c r="L21" t="s">
        <v>247</v>
      </c>
      <c r="M21">
        <v>0</v>
      </c>
      <c r="N21" s="6">
        <v>16</v>
      </c>
      <c r="O21">
        <v>2</v>
      </c>
      <c r="P21" t="s">
        <v>247</v>
      </c>
      <c r="Q21">
        <v>0</v>
      </c>
      <c r="R21" s="6">
        <v>17</v>
      </c>
      <c r="S21">
        <v>1</v>
      </c>
      <c r="T21" s="85">
        <v>0</v>
      </c>
      <c r="U21" s="85">
        <v>0</v>
      </c>
      <c r="V21" s="85">
        <f t="shared" si="3"/>
        <v>18</v>
      </c>
      <c r="W21" s="86">
        <v>23</v>
      </c>
      <c r="X21" s="85">
        <v>0</v>
      </c>
      <c r="Y21" s="85">
        <v>1</v>
      </c>
      <c r="Z21" s="85">
        <v>0</v>
      </c>
      <c r="AA21" s="85">
        <f t="shared" si="4"/>
        <v>24</v>
      </c>
      <c r="AB21" s="6"/>
    </row>
    <row r="22" spans="1:28" x14ac:dyDescent="0.2">
      <c r="A22" t="s">
        <v>267</v>
      </c>
      <c r="B22" s="84">
        <v>41590</v>
      </c>
      <c r="C22" s="33">
        <v>24</v>
      </c>
      <c r="D22" s="6" t="s">
        <v>30</v>
      </c>
      <c r="E22" s="85">
        <f>14.5*60</f>
        <v>870</v>
      </c>
      <c r="F22" s="6">
        <v>1</v>
      </c>
      <c r="G22">
        <v>2</v>
      </c>
      <c r="H22" t="s">
        <v>247</v>
      </c>
      <c r="I22" s="43">
        <v>0</v>
      </c>
      <c r="J22" s="15">
        <v>6</v>
      </c>
      <c r="K22" s="15">
        <v>0</v>
      </c>
      <c r="L22" s="15" t="s">
        <v>247</v>
      </c>
      <c r="M22" s="15">
        <v>0</v>
      </c>
      <c r="N22" s="6">
        <v>10</v>
      </c>
      <c r="O22" s="15">
        <v>2</v>
      </c>
      <c r="P22" s="15" t="s">
        <v>247</v>
      </c>
      <c r="Q22" s="15">
        <v>0</v>
      </c>
      <c r="R22" s="6">
        <v>16</v>
      </c>
      <c r="S22">
        <v>2</v>
      </c>
      <c r="T22" s="85">
        <v>0</v>
      </c>
      <c r="U22" s="85">
        <v>0</v>
      </c>
      <c r="V22" s="85">
        <f t="shared" si="3"/>
        <v>18</v>
      </c>
      <c r="W22" s="86">
        <v>17</v>
      </c>
      <c r="X22" s="82">
        <v>3</v>
      </c>
      <c r="Y22" s="82">
        <v>0</v>
      </c>
      <c r="Z22" s="82">
        <v>0</v>
      </c>
      <c r="AA22" s="85">
        <f t="shared" si="4"/>
        <v>20</v>
      </c>
      <c r="AB22" s="6"/>
    </row>
    <row r="23" spans="1:28" x14ac:dyDescent="0.2">
      <c r="B23" s="84">
        <v>41590</v>
      </c>
      <c r="C23" s="33">
        <v>24</v>
      </c>
      <c r="D23" s="6" t="s">
        <v>31</v>
      </c>
      <c r="E23" s="85">
        <f>11.5*60</f>
        <v>690</v>
      </c>
      <c r="F23" s="6">
        <v>0</v>
      </c>
      <c r="G23">
        <v>2</v>
      </c>
      <c r="H23" t="s">
        <v>247</v>
      </c>
      <c r="I23" s="43">
        <v>0</v>
      </c>
      <c r="J23" s="15">
        <v>3</v>
      </c>
      <c r="K23" s="15">
        <v>4</v>
      </c>
      <c r="L23" s="15" t="s">
        <v>247</v>
      </c>
      <c r="M23" s="15">
        <v>0</v>
      </c>
      <c r="N23" s="6">
        <v>8</v>
      </c>
      <c r="O23" s="15">
        <v>4</v>
      </c>
      <c r="P23" s="15" t="s">
        <v>247</v>
      </c>
      <c r="Q23" s="15">
        <v>0</v>
      </c>
      <c r="R23" s="6">
        <v>18</v>
      </c>
      <c r="S23">
        <v>2</v>
      </c>
      <c r="T23" s="85">
        <v>0</v>
      </c>
      <c r="U23" s="85">
        <v>0</v>
      </c>
      <c r="V23" s="85">
        <f t="shared" si="3"/>
        <v>20</v>
      </c>
      <c r="W23" s="86">
        <v>22</v>
      </c>
      <c r="X23" s="82">
        <v>1</v>
      </c>
      <c r="Y23" s="82">
        <v>0</v>
      </c>
      <c r="Z23" s="82">
        <v>0</v>
      </c>
      <c r="AA23" s="85">
        <f t="shared" si="4"/>
        <v>23</v>
      </c>
      <c r="AB23" s="6"/>
    </row>
    <row r="24" spans="1:28" x14ac:dyDescent="0.2">
      <c r="A24" s="14" t="s">
        <v>267</v>
      </c>
      <c r="B24" s="84">
        <v>41590</v>
      </c>
      <c r="C24" s="33">
        <v>24</v>
      </c>
      <c r="D24" s="6" t="s">
        <v>32</v>
      </c>
      <c r="E24" s="85">
        <f>15*60</f>
        <v>900</v>
      </c>
      <c r="F24" s="6">
        <v>1</v>
      </c>
      <c r="G24">
        <v>1</v>
      </c>
      <c r="H24" t="s">
        <v>247</v>
      </c>
      <c r="I24" s="43">
        <v>0</v>
      </c>
      <c r="J24" s="15">
        <v>4</v>
      </c>
      <c r="K24" s="15">
        <v>1</v>
      </c>
      <c r="L24" s="15" t="s">
        <v>247</v>
      </c>
      <c r="M24" s="15">
        <v>0</v>
      </c>
      <c r="N24" s="6">
        <v>7</v>
      </c>
      <c r="O24" s="15">
        <v>0</v>
      </c>
      <c r="P24" s="15" t="s">
        <v>247</v>
      </c>
      <c r="Q24" s="15">
        <v>0</v>
      </c>
      <c r="R24" s="6">
        <v>14</v>
      </c>
      <c r="S24">
        <v>1</v>
      </c>
      <c r="T24" s="85">
        <v>0</v>
      </c>
      <c r="U24" s="85">
        <v>0</v>
      </c>
      <c r="V24" s="85">
        <f t="shared" si="3"/>
        <v>15</v>
      </c>
      <c r="W24" s="86">
        <v>14</v>
      </c>
      <c r="X24" s="82">
        <v>1</v>
      </c>
      <c r="Y24" s="82">
        <v>0</v>
      </c>
      <c r="Z24" s="82">
        <v>0</v>
      </c>
      <c r="AA24" s="85">
        <f t="shared" si="4"/>
        <v>15</v>
      </c>
      <c r="AB24" s="6"/>
    </row>
    <row r="25" spans="1:28" x14ac:dyDescent="0.2">
      <c r="A25" s="14"/>
      <c r="D25" s="16" t="s">
        <v>23</v>
      </c>
      <c r="E25" s="17">
        <f>AVERAGE(E18:E24)</f>
        <v>1478.5714285714287</v>
      </c>
      <c r="F25" s="16"/>
      <c r="G25" s="18"/>
      <c r="H25" s="18"/>
      <c r="I25" s="36"/>
      <c r="J25" s="57"/>
      <c r="K25" s="18"/>
      <c r="L25" s="18"/>
      <c r="M25" s="18"/>
      <c r="N25" s="16"/>
      <c r="O25" s="18"/>
      <c r="P25" s="18"/>
      <c r="Q25" s="18"/>
      <c r="R25" s="16"/>
      <c r="S25" s="18"/>
      <c r="T25" s="18"/>
      <c r="U25" s="18"/>
      <c r="V25" s="18">
        <f>AVERAGE(V17:V24)</f>
        <v>18.5</v>
      </c>
      <c r="W25" s="16"/>
      <c r="X25" s="18"/>
      <c r="Y25" s="18"/>
      <c r="Z25" s="18"/>
      <c r="AA25" s="18">
        <f>AVERAGE(AA17:AA24)</f>
        <v>20.25</v>
      </c>
      <c r="AB25" s="6"/>
    </row>
    <row r="26" spans="1:28" x14ac:dyDescent="0.2">
      <c r="D26" s="19" t="s">
        <v>14</v>
      </c>
      <c r="E26" s="20"/>
      <c r="F26" s="19"/>
      <c r="G26" s="20"/>
      <c r="H26" s="20"/>
      <c r="I26" s="21"/>
      <c r="J26" s="75"/>
      <c r="K26" s="20"/>
      <c r="L26" s="20"/>
      <c r="M26" s="20"/>
      <c r="N26" s="19"/>
      <c r="O26" s="20"/>
      <c r="P26" s="20"/>
      <c r="Q26" s="20"/>
      <c r="R26" s="19"/>
      <c r="S26" s="20"/>
      <c r="T26" s="20"/>
      <c r="U26" s="20"/>
      <c r="V26" s="21">
        <f>SUM(V17:V24)</f>
        <v>148</v>
      </c>
      <c r="W26" s="22"/>
      <c r="X26" s="20"/>
      <c r="Y26" s="20"/>
      <c r="Z26" s="20"/>
      <c r="AA26" s="20">
        <f>SUM(AA17:AA24)</f>
        <v>162</v>
      </c>
      <c r="AB26" s="6"/>
    </row>
    <row r="27" spans="1:28" x14ac:dyDescent="0.2">
      <c r="A27" s="23"/>
      <c r="B27" s="23"/>
      <c r="C27" s="23"/>
      <c r="D27" s="24" t="s">
        <v>33</v>
      </c>
      <c r="E27" s="23"/>
      <c r="F27" s="25"/>
      <c r="G27" s="23"/>
      <c r="H27" s="23"/>
      <c r="I27" s="26"/>
      <c r="J27" s="23"/>
      <c r="K27" s="23"/>
      <c r="L27" s="23"/>
      <c r="M27" s="23"/>
      <c r="N27" s="25"/>
      <c r="O27" s="23"/>
      <c r="P27" s="23"/>
      <c r="Q27" s="23"/>
      <c r="R27" s="25"/>
      <c r="S27" s="23"/>
      <c r="T27" s="23"/>
      <c r="U27" s="23"/>
      <c r="V27" s="26"/>
      <c r="W27" s="25"/>
      <c r="X27" s="23"/>
      <c r="Y27" s="23"/>
      <c r="Z27" s="23"/>
      <c r="AA27" s="23"/>
      <c r="AB27" s="25"/>
    </row>
    <row r="28" spans="1:28" x14ac:dyDescent="0.2">
      <c r="B28" s="84">
        <v>41564</v>
      </c>
      <c r="C28" s="33">
        <v>48</v>
      </c>
      <c r="D28" s="6" t="s">
        <v>34</v>
      </c>
      <c r="E28" s="14">
        <f>21*60</f>
        <v>1260</v>
      </c>
      <c r="F28" s="6">
        <v>0</v>
      </c>
      <c r="G28">
        <v>0</v>
      </c>
      <c r="H28" t="s">
        <v>247</v>
      </c>
      <c r="I28" s="43">
        <v>0</v>
      </c>
      <c r="J28" s="15">
        <v>11</v>
      </c>
      <c r="K28" s="15">
        <v>2</v>
      </c>
      <c r="L28" s="15">
        <v>0</v>
      </c>
      <c r="M28" s="15">
        <v>0</v>
      </c>
      <c r="N28" s="6">
        <v>14</v>
      </c>
      <c r="O28" s="15">
        <v>2</v>
      </c>
      <c r="P28" s="15">
        <v>0</v>
      </c>
      <c r="Q28" s="15">
        <v>0</v>
      </c>
      <c r="R28" s="6">
        <v>16</v>
      </c>
      <c r="S28">
        <v>0</v>
      </c>
      <c r="T28">
        <v>0</v>
      </c>
      <c r="U28">
        <v>0</v>
      </c>
      <c r="V28" s="14">
        <f t="shared" ref="V28:V33" si="5">SUM(R28:U28)</f>
        <v>16</v>
      </c>
      <c r="W28" s="6">
        <v>16</v>
      </c>
      <c r="X28" s="15">
        <v>0</v>
      </c>
      <c r="Y28" s="15">
        <v>1</v>
      </c>
      <c r="Z28" s="15">
        <v>0</v>
      </c>
      <c r="AA28" s="14">
        <f t="shared" ref="AA28:AA33" si="6">SUM(W28:Z28)</f>
        <v>17</v>
      </c>
      <c r="AB28" s="6"/>
    </row>
    <row r="29" spans="1:28" x14ac:dyDescent="0.2">
      <c r="B29" s="84">
        <v>41564</v>
      </c>
      <c r="C29" s="33">
        <v>48</v>
      </c>
      <c r="D29" s="6" t="s">
        <v>35</v>
      </c>
      <c r="E29" s="14">
        <f>21*60</f>
        <v>1260</v>
      </c>
      <c r="F29" s="6">
        <v>0</v>
      </c>
      <c r="G29">
        <v>0</v>
      </c>
      <c r="H29" t="s">
        <v>247</v>
      </c>
      <c r="I29" s="43">
        <v>0</v>
      </c>
      <c r="J29" s="15">
        <v>12</v>
      </c>
      <c r="K29" s="15">
        <v>3</v>
      </c>
      <c r="L29" s="15">
        <v>0</v>
      </c>
      <c r="M29" s="15">
        <v>0</v>
      </c>
      <c r="N29" s="6">
        <v>15</v>
      </c>
      <c r="O29" s="15">
        <v>0</v>
      </c>
      <c r="P29" s="15">
        <v>0</v>
      </c>
      <c r="Q29" s="15">
        <v>0</v>
      </c>
      <c r="R29" s="6">
        <v>13</v>
      </c>
      <c r="S29">
        <v>2</v>
      </c>
      <c r="T29">
        <v>0</v>
      </c>
      <c r="U29">
        <v>0</v>
      </c>
      <c r="V29" s="14">
        <f t="shared" si="5"/>
        <v>15</v>
      </c>
      <c r="W29" s="6">
        <v>15</v>
      </c>
      <c r="X29" s="15">
        <v>0</v>
      </c>
      <c r="Y29" s="15">
        <v>0</v>
      </c>
      <c r="Z29" s="15">
        <v>0</v>
      </c>
      <c r="AA29" s="14">
        <f t="shared" si="6"/>
        <v>15</v>
      </c>
      <c r="AB29" s="6"/>
    </row>
    <row r="30" spans="1:28" x14ac:dyDescent="0.2">
      <c r="B30" s="84">
        <v>41564</v>
      </c>
      <c r="C30" s="33">
        <v>48</v>
      </c>
      <c r="D30" s="6" t="s">
        <v>36</v>
      </c>
      <c r="E30" s="14">
        <f>23*60</f>
        <v>1380</v>
      </c>
      <c r="F30" s="6">
        <v>0</v>
      </c>
      <c r="G30">
        <v>0</v>
      </c>
      <c r="H30" t="s">
        <v>247</v>
      </c>
      <c r="I30" s="43">
        <v>0</v>
      </c>
      <c r="J30" s="15">
        <v>18</v>
      </c>
      <c r="K30" s="15">
        <v>0</v>
      </c>
      <c r="L30" s="15">
        <v>0</v>
      </c>
      <c r="M30" s="15">
        <v>0</v>
      </c>
      <c r="N30" s="6">
        <v>19</v>
      </c>
      <c r="O30" s="15">
        <v>0</v>
      </c>
      <c r="P30" s="15">
        <v>0</v>
      </c>
      <c r="Q30" s="15">
        <v>0</v>
      </c>
      <c r="R30" s="6">
        <v>22</v>
      </c>
      <c r="S30">
        <v>1</v>
      </c>
      <c r="T30">
        <v>0</v>
      </c>
      <c r="U30">
        <v>0</v>
      </c>
      <c r="V30" s="14">
        <f t="shared" si="5"/>
        <v>23</v>
      </c>
      <c r="W30" s="6">
        <v>19</v>
      </c>
      <c r="X30" s="15">
        <v>1</v>
      </c>
      <c r="Y30" s="15">
        <v>3</v>
      </c>
      <c r="Z30" s="15">
        <v>0</v>
      </c>
      <c r="AA30" s="14">
        <f t="shared" si="6"/>
        <v>23</v>
      </c>
      <c r="AB30" s="6"/>
    </row>
    <row r="31" spans="1:28" x14ac:dyDescent="0.2">
      <c r="A31" s="14"/>
      <c r="B31" s="84">
        <v>41591</v>
      </c>
      <c r="C31" s="33">
        <v>48</v>
      </c>
      <c r="D31" s="6" t="s">
        <v>37</v>
      </c>
      <c r="E31" s="14">
        <f>60*19</f>
        <v>1140</v>
      </c>
      <c r="F31" s="6">
        <v>0</v>
      </c>
      <c r="G31">
        <v>2</v>
      </c>
      <c r="H31" t="s">
        <v>247</v>
      </c>
      <c r="I31" s="43">
        <v>0</v>
      </c>
      <c r="J31" s="15">
        <v>7</v>
      </c>
      <c r="K31" s="15">
        <v>0</v>
      </c>
      <c r="L31" s="15" t="s">
        <v>247</v>
      </c>
      <c r="M31" s="15">
        <v>0</v>
      </c>
      <c r="N31" s="6">
        <v>9</v>
      </c>
      <c r="O31" s="15">
        <v>1</v>
      </c>
      <c r="P31" s="15" t="s">
        <v>247</v>
      </c>
      <c r="Q31" s="15">
        <v>0</v>
      </c>
      <c r="R31" s="6">
        <v>18</v>
      </c>
      <c r="S31">
        <v>4</v>
      </c>
      <c r="T31">
        <v>1</v>
      </c>
      <c r="U31">
        <v>0</v>
      </c>
      <c r="V31" s="14">
        <f t="shared" si="5"/>
        <v>23</v>
      </c>
      <c r="W31" s="6">
        <v>20</v>
      </c>
      <c r="X31" s="15">
        <v>3</v>
      </c>
      <c r="Y31" s="15">
        <v>0</v>
      </c>
      <c r="Z31" s="15">
        <v>0</v>
      </c>
      <c r="AA31" s="14">
        <f t="shared" si="6"/>
        <v>23</v>
      </c>
      <c r="AB31" s="6"/>
    </row>
    <row r="32" spans="1:28" x14ac:dyDescent="0.2">
      <c r="B32" s="84">
        <v>41591</v>
      </c>
      <c r="C32" s="33">
        <v>48</v>
      </c>
      <c r="D32" s="6" t="s">
        <v>38</v>
      </c>
      <c r="E32" s="14">
        <f>21*60</f>
        <v>1260</v>
      </c>
      <c r="F32" s="6">
        <v>0</v>
      </c>
      <c r="G32">
        <v>1</v>
      </c>
      <c r="H32" t="s">
        <v>247</v>
      </c>
      <c r="I32" s="43">
        <v>0</v>
      </c>
      <c r="J32" s="15">
        <v>4</v>
      </c>
      <c r="K32" s="15">
        <v>1</v>
      </c>
      <c r="L32" s="15" t="s">
        <v>247</v>
      </c>
      <c r="M32" s="15">
        <v>0</v>
      </c>
      <c r="N32" s="6">
        <v>13</v>
      </c>
      <c r="O32" s="15">
        <v>0</v>
      </c>
      <c r="P32" s="15" t="s">
        <v>247</v>
      </c>
      <c r="Q32" s="15">
        <v>0</v>
      </c>
      <c r="R32" s="6">
        <v>22</v>
      </c>
      <c r="S32">
        <v>2</v>
      </c>
      <c r="T32">
        <v>0</v>
      </c>
      <c r="U32">
        <v>0</v>
      </c>
      <c r="V32" s="14">
        <f t="shared" si="5"/>
        <v>24</v>
      </c>
      <c r="W32" s="6">
        <v>21</v>
      </c>
      <c r="X32" s="15">
        <v>1</v>
      </c>
      <c r="Y32" s="15">
        <v>2</v>
      </c>
      <c r="Z32" s="15">
        <v>0</v>
      </c>
      <c r="AA32" s="14">
        <f t="shared" si="6"/>
        <v>24</v>
      </c>
      <c r="AB32" s="6"/>
    </row>
    <row r="33" spans="1:67" x14ac:dyDescent="0.2">
      <c r="A33" s="27" t="s">
        <v>39</v>
      </c>
      <c r="B33" s="84">
        <v>41591</v>
      </c>
      <c r="C33" s="33">
        <v>48</v>
      </c>
      <c r="D33" s="28" t="s">
        <v>40</v>
      </c>
      <c r="E33" s="29">
        <f>17*60</f>
        <v>1020</v>
      </c>
      <c r="F33" s="28">
        <v>0</v>
      </c>
      <c r="G33" s="29">
        <v>2</v>
      </c>
      <c r="H33" s="29" t="s">
        <v>247</v>
      </c>
      <c r="I33" s="77">
        <v>0</v>
      </c>
      <c r="J33" s="30">
        <v>6</v>
      </c>
      <c r="K33" s="30">
        <v>1</v>
      </c>
      <c r="L33" s="30" t="s">
        <v>247</v>
      </c>
      <c r="M33" s="30">
        <v>0</v>
      </c>
      <c r="N33" s="28">
        <v>16</v>
      </c>
      <c r="O33" s="30">
        <v>0</v>
      </c>
      <c r="P33" s="30" t="s">
        <v>247</v>
      </c>
      <c r="Q33" s="30">
        <v>0</v>
      </c>
      <c r="R33" s="28">
        <v>21</v>
      </c>
      <c r="S33" s="29">
        <v>3</v>
      </c>
      <c r="T33" s="29">
        <v>0</v>
      </c>
      <c r="U33" s="29">
        <v>0</v>
      </c>
      <c r="V33" s="29">
        <f t="shared" si="5"/>
        <v>24</v>
      </c>
      <c r="W33" s="28">
        <v>11</v>
      </c>
      <c r="X33" s="30">
        <v>3</v>
      </c>
      <c r="Y33" s="30">
        <v>0</v>
      </c>
      <c r="Z33" s="30">
        <v>0</v>
      </c>
      <c r="AA33" s="29">
        <f t="shared" si="6"/>
        <v>14</v>
      </c>
      <c r="AB33" s="6"/>
    </row>
    <row r="34" spans="1:67" x14ac:dyDescent="0.2">
      <c r="A34" s="27"/>
      <c r="B34" s="27"/>
      <c r="C34" s="27"/>
      <c r="D34" s="16" t="s">
        <v>23</v>
      </c>
      <c r="E34" s="17">
        <f>AVERAGE(E28:E32)</f>
        <v>1260</v>
      </c>
      <c r="F34" s="16"/>
      <c r="G34" s="18"/>
      <c r="H34" s="18"/>
      <c r="I34" s="36"/>
      <c r="J34" s="57"/>
      <c r="K34" s="18"/>
      <c r="L34" s="18"/>
      <c r="M34" s="18"/>
      <c r="N34" s="16"/>
      <c r="O34" s="18"/>
      <c r="P34" s="18"/>
      <c r="Q34" s="18"/>
      <c r="R34" s="16"/>
      <c r="S34" s="18"/>
      <c r="T34" s="18"/>
      <c r="U34" s="18"/>
      <c r="V34" s="18">
        <f>AVERAGE(V28:V33)</f>
        <v>20.833333333333332</v>
      </c>
      <c r="W34" s="16"/>
      <c r="X34" s="18"/>
      <c r="Y34" s="18"/>
      <c r="Z34" s="18"/>
      <c r="AA34" s="18">
        <f>AVERAGE(AA28:AA33)</f>
        <v>19.333333333333332</v>
      </c>
      <c r="AB34" s="6"/>
    </row>
    <row r="35" spans="1:67" x14ac:dyDescent="0.2">
      <c r="A35" s="27"/>
      <c r="B35" s="27"/>
      <c r="C35" s="27"/>
      <c r="D35" s="19" t="s">
        <v>14</v>
      </c>
      <c r="E35" s="20"/>
      <c r="F35" s="19"/>
      <c r="G35" s="20"/>
      <c r="H35" s="20"/>
      <c r="I35" s="21"/>
      <c r="J35" s="75"/>
      <c r="K35" s="20"/>
      <c r="L35" s="20"/>
      <c r="M35" s="20"/>
      <c r="N35" s="19"/>
      <c r="O35" s="20"/>
      <c r="P35" s="20"/>
      <c r="Q35" s="20"/>
      <c r="R35" s="19"/>
      <c r="S35" s="20"/>
      <c r="T35" s="20"/>
      <c r="U35" s="20"/>
      <c r="V35" s="22">
        <f>SUM(V28:V33)</f>
        <v>125</v>
      </c>
      <c r="W35" s="19"/>
      <c r="X35" s="20"/>
      <c r="Y35" s="20"/>
      <c r="Z35" s="20"/>
      <c r="AA35" s="20">
        <f>SUM(AA28:AA33)</f>
        <v>116</v>
      </c>
      <c r="AB35" s="6"/>
    </row>
    <row r="36" spans="1:67" x14ac:dyDescent="0.2">
      <c r="A36" s="23"/>
      <c r="B36" s="23"/>
      <c r="C36" s="23"/>
      <c r="D36" s="24" t="s">
        <v>41</v>
      </c>
      <c r="E36" s="23"/>
      <c r="F36" s="25"/>
      <c r="G36" s="23"/>
      <c r="H36" s="23"/>
      <c r="I36" s="26"/>
      <c r="J36" s="23"/>
      <c r="K36" s="23"/>
      <c r="L36" s="23"/>
      <c r="M36" s="23"/>
      <c r="N36" s="25"/>
      <c r="O36" s="23"/>
      <c r="P36" s="23"/>
      <c r="Q36" s="23"/>
      <c r="R36" s="25"/>
      <c r="S36" s="23"/>
      <c r="T36" s="23"/>
      <c r="U36" s="23"/>
      <c r="V36" s="23"/>
      <c r="W36" s="25"/>
      <c r="X36" s="23"/>
      <c r="Y36" s="23"/>
      <c r="Z36" s="23"/>
      <c r="AA36" s="23"/>
      <c r="AB36" s="25"/>
    </row>
    <row r="37" spans="1:67" x14ac:dyDescent="0.2">
      <c r="A37" s="82" t="s">
        <v>255</v>
      </c>
      <c r="B37" s="87">
        <v>41676</v>
      </c>
      <c r="C37" s="33">
        <f>24*7</f>
        <v>168</v>
      </c>
      <c r="D37" s="6" t="s">
        <v>42</v>
      </c>
      <c r="E37" s="104" t="s">
        <v>247</v>
      </c>
      <c r="F37" s="6">
        <v>0</v>
      </c>
      <c r="G37">
        <v>0</v>
      </c>
      <c r="H37" t="s">
        <v>247</v>
      </c>
      <c r="I37" s="43">
        <v>0</v>
      </c>
      <c r="J37" s="15">
        <v>9</v>
      </c>
      <c r="K37" s="15">
        <v>0</v>
      </c>
      <c r="L37" s="82">
        <v>11</v>
      </c>
      <c r="M37" s="15">
        <v>0</v>
      </c>
      <c r="N37" s="6">
        <v>19</v>
      </c>
      <c r="O37" s="15">
        <v>1</v>
      </c>
      <c r="P37" s="82">
        <v>1</v>
      </c>
      <c r="Q37" s="15">
        <v>0</v>
      </c>
      <c r="R37" s="6">
        <v>17</v>
      </c>
      <c r="S37">
        <v>2</v>
      </c>
      <c r="T37">
        <v>1</v>
      </c>
      <c r="U37">
        <v>0</v>
      </c>
      <c r="V37" s="14">
        <f t="shared" ref="V37:V42" si="7">SUM(R37:U37)</f>
        <v>20</v>
      </c>
      <c r="W37" s="6">
        <v>18</v>
      </c>
      <c r="X37" s="15">
        <v>1</v>
      </c>
      <c r="Y37" s="15">
        <v>1</v>
      </c>
      <c r="Z37" s="15">
        <v>0</v>
      </c>
      <c r="AA37" s="14">
        <f t="shared" ref="AA37:AA42" si="8">SUM(W37:Z37)</f>
        <v>20</v>
      </c>
      <c r="AB37" s="6"/>
    </row>
    <row r="38" spans="1:67" x14ac:dyDescent="0.2">
      <c r="A38" s="82"/>
      <c r="B38" s="87">
        <v>41676</v>
      </c>
      <c r="C38" s="33">
        <f t="shared" ref="C38:C42" si="9">24*7</f>
        <v>168</v>
      </c>
      <c r="D38" s="6" t="s">
        <v>43</v>
      </c>
      <c r="E38" s="14">
        <f>25*60</f>
        <v>1500</v>
      </c>
      <c r="F38" s="6">
        <v>0</v>
      </c>
      <c r="G38">
        <v>0</v>
      </c>
      <c r="H38" t="s">
        <v>247</v>
      </c>
      <c r="I38" s="43">
        <v>0</v>
      </c>
      <c r="J38" s="15">
        <v>11</v>
      </c>
      <c r="K38" s="15">
        <v>0</v>
      </c>
      <c r="L38" s="88">
        <v>9</v>
      </c>
      <c r="M38" s="15">
        <v>0</v>
      </c>
      <c r="N38" s="6">
        <v>18</v>
      </c>
      <c r="O38" s="15">
        <v>1</v>
      </c>
      <c r="P38" s="82">
        <v>4</v>
      </c>
      <c r="Q38" s="15">
        <v>0</v>
      </c>
      <c r="R38" s="6">
        <v>16</v>
      </c>
      <c r="S38">
        <v>5</v>
      </c>
      <c r="T38" s="85">
        <v>3</v>
      </c>
      <c r="U38">
        <v>0</v>
      </c>
      <c r="V38" s="14">
        <f t="shared" si="7"/>
        <v>24</v>
      </c>
      <c r="W38" s="6">
        <v>16</v>
      </c>
      <c r="X38" s="15">
        <v>5</v>
      </c>
      <c r="Y38" s="15">
        <v>5</v>
      </c>
      <c r="Z38" s="15">
        <v>0</v>
      </c>
      <c r="AA38" s="14">
        <f t="shared" si="8"/>
        <v>26</v>
      </c>
      <c r="AB38" s="6"/>
    </row>
    <row r="39" spans="1:67" x14ac:dyDescent="0.2">
      <c r="A39" s="82"/>
      <c r="B39" s="87">
        <v>41676</v>
      </c>
      <c r="C39" s="33">
        <f t="shared" si="9"/>
        <v>168</v>
      </c>
      <c r="D39" s="32" t="s">
        <v>44</v>
      </c>
      <c r="E39" s="33">
        <f>35*60</f>
        <v>2100</v>
      </c>
      <c r="F39" s="32">
        <v>0</v>
      </c>
      <c r="G39" s="33">
        <v>0</v>
      </c>
      <c r="H39" s="33" t="s">
        <v>247</v>
      </c>
      <c r="I39" s="43">
        <v>0</v>
      </c>
      <c r="J39" s="27">
        <v>12</v>
      </c>
      <c r="K39" s="15">
        <v>0</v>
      </c>
      <c r="L39" s="82">
        <v>3</v>
      </c>
      <c r="M39" s="15">
        <v>0</v>
      </c>
      <c r="N39" s="32">
        <v>9</v>
      </c>
      <c r="O39" s="15">
        <v>4</v>
      </c>
      <c r="P39" s="82">
        <v>1</v>
      </c>
      <c r="Q39" s="15">
        <v>0</v>
      </c>
      <c r="R39" s="32">
        <v>8</v>
      </c>
      <c r="S39" s="33">
        <v>6</v>
      </c>
      <c r="T39" s="33">
        <v>0</v>
      </c>
      <c r="U39" s="33">
        <v>0</v>
      </c>
      <c r="V39" s="33">
        <f t="shared" si="7"/>
        <v>14</v>
      </c>
      <c r="W39" s="32">
        <v>7</v>
      </c>
      <c r="X39" s="15">
        <v>7</v>
      </c>
      <c r="Y39" s="15">
        <v>0</v>
      </c>
      <c r="Z39" s="15">
        <v>0</v>
      </c>
      <c r="AA39" s="33">
        <f t="shared" si="8"/>
        <v>14</v>
      </c>
      <c r="AB39" s="6"/>
      <c r="BO39" s="33"/>
    </row>
    <row r="40" spans="1:67" x14ac:dyDescent="0.2">
      <c r="A40" s="82"/>
      <c r="B40" s="87">
        <v>41676</v>
      </c>
      <c r="C40" s="33">
        <f t="shared" si="9"/>
        <v>168</v>
      </c>
      <c r="D40" s="32" t="s">
        <v>45</v>
      </c>
      <c r="E40" s="33">
        <f>25*60</f>
        <v>1500</v>
      </c>
      <c r="F40" s="32">
        <v>0</v>
      </c>
      <c r="G40" s="33">
        <v>0</v>
      </c>
      <c r="H40" s="33" t="s">
        <v>247</v>
      </c>
      <c r="I40" s="43">
        <v>0</v>
      </c>
      <c r="J40" s="27">
        <v>9</v>
      </c>
      <c r="K40" s="15">
        <v>0</v>
      </c>
      <c r="L40" s="82">
        <v>5</v>
      </c>
      <c r="M40" s="15">
        <v>0</v>
      </c>
      <c r="N40" s="32">
        <v>7</v>
      </c>
      <c r="O40" s="15">
        <v>4</v>
      </c>
      <c r="P40" s="82">
        <v>1</v>
      </c>
      <c r="Q40" s="15">
        <v>0</v>
      </c>
      <c r="R40" s="32">
        <v>6</v>
      </c>
      <c r="S40" s="33">
        <v>4</v>
      </c>
      <c r="T40" s="33">
        <v>2</v>
      </c>
      <c r="U40" s="33">
        <v>0</v>
      </c>
      <c r="V40" s="33">
        <f t="shared" si="7"/>
        <v>12</v>
      </c>
      <c r="W40" s="32">
        <v>5</v>
      </c>
      <c r="X40" s="15">
        <v>4</v>
      </c>
      <c r="Y40" s="15">
        <v>3</v>
      </c>
      <c r="Z40" s="15">
        <v>0</v>
      </c>
      <c r="AA40" s="33">
        <f t="shared" si="8"/>
        <v>12</v>
      </c>
      <c r="AB40" s="6"/>
    </row>
    <row r="41" spans="1:67" x14ac:dyDescent="0.2">
      <c r="A41" s="82"/>
      <c r="B41" s="87">
        <v>41676</v>
      </c>
      <c r="C41" s="33">
        <f t="shared" si="9"/>
        <v>168</v>
      </c>
      <c r="D41" s="6" t="s">
        <v>46</v>
      </c>
      <c r="E41" s="14">
        <f>25*60</f>
        <v>1500</v>
      </c>
      <c r="F41" s="6">
        <v>0</v>
      </c>
      <c r="G41">
        <v>0</v>
      </c>
      <c r="H41" t="s">
        <v>247</v>
      </c>
      <c r="I41" s="43">
        <v>0</v>
      </c>
      <c r="J41" s="15">
        <v>13</v>
      </c>
      <c r="K41" s="15">
        <v>0</v>
      </c>
      <c r="L41" s="82">
        <v>8</v>
      </c>
      <c r="M41" s="15">
        <v>0</v>
      </c>
      <c r="N41" s="6">
        <v>17</v>
      </c>
      <c r="O41" s="15">
        <v>0</v>
      </c>
      <c r="P41" s="82">
        <v>4</v>
      </c>
      <c r="Q41" s="15">
        <v>0</v>
      </c>
      <c r="R41" s="6">
        <v>14</v>
      </c>
      <c r="S41">
        <v>3</v>
      </c>
      <c r="T41">
        <v>4</v>
      </c>
      <c r="U41">
        <v>0</v>
      </c>
      <c r="V41" s="14">
        <f t="shared" si="7"/>
        <v>21</v>
      </c>
      <c r="W41" s="6">
        <v>14</v>
      </c>
      <c r="X41" s="15">
        <v>2</v>
      </c>
      <c r="Y41" s="15">
        <v>5</v>
      </c>
      <c r="Z41" s="15">
        <v>0</v>
      </c>
      <c r="AA41" s="14">
        <f t="shared" si="8"/>
        <v>21</v>
      </c>
      <c r="AB41" s="6"/>
    </row>
    <row r="42" spans="1:67" x14ac:dyDescent="0.2">
      <c r="A42" s="82"/>
      <c r="B42" s="87">
        <v>41676</v>
      </c>
      <c r="C42" s="33">
        <f t="shared" si="9"/>
        <v>168</v>
      </c>
      <c r="D42" s="6" t="s">
        <v>47</v>
      </c>
      <c r="E42" s="14">
        <f>35*60</f>
        <v>2100</v>
      </c>
      <c r="F42" s="6">
        <v>0</v>
      </c>
      <c r="G42">
        <v>0</v>
      </c>
      <c r="H42" t="s">
        <v>247</v>
      </c>
      <c r="I42" s="43">
        <v>0</v>
      </c>
      <c r="J42" s="15">
        <v>13</v>
      </c>
      <c r="K42" s="15">
        <v>0</v>
      </c>
      <c r="L42" s="82">
        <v>7</v>
      </c>
      <c r="M42" s="15">
        <v>0</v>
      </c>
      <c r="N42" s="6">
        <v>12</v>
      </c>
      <c r="O42" s="15">
        <v>1</v>
      </c>
      <c r="P42" s="82">
        <v>6</v>
      </c>
      <c r="Q42" s="15">
        <v>0</v>
      </c>
      <c r="R42" s="6">
        <v>8</v>
      </c>
      <c r="S42">
        <v>4</v>
      </c>
      <c r="T42">
        <v>6</v>
      </c>
      <c r="U42">
        <v>0</v>
      </c>
      <c r="V42" s="34">
        <f t="shared" si="7"/>
        <v>18</v>
      </c>
      <c r="W42" s="6">
        <v>9</v>
      </c>
      <c r="X42" s="15">
        <v>3</v>
      </c>
      <c r="Y42" s="15">
        <v>6</v>
      </c>
      <c r="Z42" s="15">
        <v>0</v>
      </c>
      <c r="AA42" s="14">
        <f t="shared" si="8"/>
        <v>18</v>
      </c>
      <c r="AB42" s="6"/>
    </row>
    <row r="43" spans="1:67" x14ac:dyDescent="0.2">
      <c r="A43" s="81"/>
      <c r="B43" s="81"/>
      <c r="C43" s="81"/>
      <c r="D43" s="16" t="s">
        <v>23</v>
      </c>
      <c r="E43" s="17">
        <f>AVERAGE(E38:E42)</f>
        <v>1740</v>
      </c>
      <c r="F43" s="16"/>
      <c r="G43" s="18"/>
      <c r="H43" s="18"/>
      <c r="I43" s="36"/>
      <c r="J43" s="57"/>
      <c r="K43" s="18"/>
      <c r="L43" s="18"/>
      <c r="M43" s="18"/>
      <c r="N43" s="16"/>
      <c r="O43" s="18"/>
      <c r="P43" s="18"/>
      <c r="Q43" s="18"/>
      <c r="R43" s="16"/>
      <c r="S43" s="18"/>
      <c r="T43" s="18"/>
      <c r="U43" s="18"/>
      <c r="V43" s="18">
        <f>AVERAGE(V37:V42)</f>
        <v>18.166666666666668</v>
      </c>
      <c r="W43" s="16"/>
      <c r="X43" s="18"/>
      <c r="Y43" s="18"/>
      <c r="Z43" s="18"/>
      <c r="AA43" s="18">
        <f>AVERAGE(AA37:AA42)</f>
        <v>18.5</v>
      </c>
      <c r="AB43" s="27"/>
    </row>
    <row r="44" spans="1:67" x14ac:dyDescent="0.2">
      <c r="A44" s="27"/>
      <c r="B44" s="27"/>
      <c r="C44" s="27"/>
      <c r="D44" s="19" t="s">
        <v>14</v>
      </c>
      <c r="E44" s="20"/>
      <c r="F44" s="19"/>
      <c r="G44" s="20"/>
      <c r="H44" s="20"/>
      <c r="I44" s="21"/>
      <c r="J44" s="75"/>
      <c r="K44" s="20"/>
      <c r="L44" s="20"/>
      <c r="M44" s="21"/>
      <c r="N44" s="75"/>
      <c r="O44" s="20"/>
      <c r="P44" s="20"/>
      <c r="Q44" s="20"/>
      <c r="R44" s="19"/>
      <c r="S44" s="20"/>
      <c r="T44" s="20"/>
      <c r="U44" s="20"/>
      <c r="V44" s="22">
        <f>SUM(V37:V42)</f>
        <v>109</v>
      </c>
      <c r="W44" s="19"/>
      <c r="X44" s="20"/>
      <c r="Y44" s="20"/>
      <c r="Z44" s="20"/>
      <c r="AA44" s="20">
        <f>SUM(AA37:AA42)</f>
        <v>111</v>
      </c>
      <c r="AB44" s="6"/>
    </row>
    <row r="45" spans="1:67" x14ac:dyDescent="0.2">
      <c r="A45" s="23"/>
      <c r="B45" s="23"/>
      <c r="C45" s="23"/>
      <c r="D45" s="24" t="s">
        <v>48</v>
      </c>
      <c r="E45" s="23"/>
      <c r="F45" s="25"/>
      <c r="G45" s="23"/>
      <c r="H45" s="23"/>
      <c r="I45" s="26"/>
      <c r="J45" s="23"/>
      <c r="K45" s="23"/>
      <c r="L45" s="23"/>
      <c r="M45" s="26"/>
      <c r="N45" s="23"/>
      <c r="O45" s="23"/>
      <c r="P45" s="23"/>
      <c r="Q45" s="23"/>
      <c r="R45" s="25"/>
      <c r="S45" s="23"/>
      <c r="T45" s="23"/>
      <c r="U45" s="23"/>
      <c r="V45" s="26"/>
      <c r="W45" s="25"/>
      <c r="X45" s="23"/>
      <c r="Y45" s="23"/>
      <c r="Z45" s="23"/>
      <c r="AA45" s="23"/>
      <c r="AB45" s="25"/>
      <c r="AC45" s="23"/>
      <c r="AD45" s="23"/>
    </row>
    <row r="46" spans="1:67" x14ac:dyDescent="0.2">
      <c r="B46" s="13">
        <v>41670</v>
      </c>
      <c r="C46" s="33">
        <f>24*7*2</f>
        <v>336</v>
      </c>
      <c r="D46" s="6" t="s">
        <v>49</v>
      </c>
      <c r="E46" s="14">
        <f>60*17</f>
        <v>1020</v>
      </c>
      <c r="F46" s="6" t="s">
        <v>247</v>
      </c>
      <c r="G46" t="s">
        <v>247</v>
      </c>
      <c r="H46" t="s">
        <v>247</v>
      </c>
      <c r="I46" s="43" t="s">
        <v>247</v>
      </c>
      <c r="J46" s="15">
        <v>6</v>
      </c>
      <c r="K46" s="15">
        <v>2</v>
      </c>
      <c r="L46" s="15">
        <v>10</v>
      </c>
      <c r="M46" s="43">
        <v>0</v>
      </c>
      <c r="N46" s="15">
        <v>9</v>
      </c>
      <c r="O46" s="15">
        <v>7</v>
      </c>
      <c r="P46" s="82">
        <v>1</v>
      </c>
      <c r="Q46" s="15">
        <v>0</v>
      </c>
      <c r="R46" s="6">
        <v>14</v>
      </c>
      <c r="S46" s="15">
        <v>3</v>
      </c>
      <c r="T46" s="15">
        <v>1</v>
      </c>
      <c r="U46" s="15">
        <v>0</v>
      </c>
      <c r="V46" s="14">
        <f t="shared" ref="V46:V51" si="10">SUM(R46:U46)</f>
        <v>18</v>
      </c>
      <c r="W46" s="86">
        <v>11</v>
      </c>
      <c r="X46" s="82">
        <v>5</v>
      </c>
      <c r="Y46" s="82">
        <v>2</v>
      </c>
      <c r="Z46" s="15">
        <v>0</v>
      </c>
      <c r="AA46" s="14">
        <f t="shared" ref="AA46:AA51" si="11">SUM(W46:Z46)</f>
        <v>18</v>
      </c>
      <c r="AB46" s="6"/>
    </row>
    <row r="47" spans="1:67" x14ac:dyDescent="0.2">
      <c r="B47" s="13">
        <v>41670</v>
      </c>
      <c r="C47" s="33">
        <f t="shared" ref="C47:C51" si="12">24*7*2</f>
        <v>336</v>
      </c>
      <c r="D47" s="6" t="s">
        <v>50</v>
      </c>
      <c r="E47" s="14">
        <f>32*60</f>
        <v>1920</v>
      </c>
      <c r="F47" s="6" t="s">
        <v>247</v>
      </c>
      <c r="G47" s="33" t="s">
        <v>247</v>
      </c>
      <c r="H47" s="33" t="s">
        <v>247</v>
      </c>
      <c r="I47" s="43" t="s">
        <v>247</v>
      </c>
      <c r="J47" s="15">
        <v>5</v>
      </c>
      <c r="K47" s="15">
        <v>5</v>
      </c>
      <c r="L47" s="82">
        <v>10</v>
      </c>
      <c r="M47" s="43">
        <v>0</v>
      </c>
      <c r="N47" s="15">
        <v>13</v>
      </c>
      <c r="O47" s="15">
        <v>3</v>
      </c>
      <c r="P47" s="15">
        <v>3</v>
      </c>
      <c r="Q47" s="15">
        <v>0</v>
      </c>
      <c r="R47" s="6">
        <v>13</v>
      </c>
      <c r="S47" s="15">
        <v>4</v>
      </c>
      <c r="T47" s="15">
        <v>2</v>
      </c>
      <c r="U47" s="15">
        <v>0</v>
      </c>
      <c r="V47" s="14">
        <f t="shared" si="10"/>
        <v>19</v>
      </c>
      <c r="W47" s="6">
        <v>12</v>
      </c>
      <c r="X47" s="15">
        <v>4</v>
      </c>
      <c r="Y47" s="15">
        <v>3</v>
      </c>
      <c r="Z47" s="15">
        <v>0</v>
      </c>
      <c r="AA47" s="14">
        <f t="shared" si="11"/>
        <v>19</v>
      </c>
      <c r="AB47" s="6"/>
    </row>
    <row r="48" spans="1:67" x14ac:dyDescent="0.2">
      <c r="B48" s="13">
        <v>41670</v>
      </c>
      <c r="C48" s="33">
        <f t="shared" si="12"/>
        <v>336</v>
      </c>
      <c r="D48" s="6" t="s">
        <v>51</v>
      </c>
      <c r="E48" s="89">
        <f>30*60</f>
        <v>1800</v>
      </c>
      <c r="F48" s="6" t="s">
        <v>247</v>
      </c>
      <c r="G48" s="33" t="s">
        <v>247</v>
      </c>
      <c r="H48" s="33" t="s">
        <v>247</v>
      </c>
      <c r="I48" s="43" t="s">
        <v>247</v>
      </c>
      <c r="J48" s="15">
        <v>7</v>
      </c>
      <c r="K48" s="15">
        <v>7</v>
      </c>
      <c r="L48" s="82">
        <v>4</v>
      </c>
      <c r="M48" s="43">
        <v>0</v>
      </c>
      <c r="N48" s="15">
        <v>11</v>
      </c>
      <c r="O48" s="15">
        <v>4</v>
      </c>
      <c r="P48" s="82">
        <v>2</v>
      </c>
      <c r="Q48" s="15">
        <v>0</v>
      </c>
      <c r="R48" s="6">
        <v>12</v>
      </c>
      <c r="S48" s="15">
        <v>5</v>
      </c>
      <c r="T48" s="15">
        <v>1</v>
      </c>
      <c r="U48" s="15">
        <v>0</v>
      </c>
      <c r="V48" s="14">
        <f t="shared" si="10"/>
        <v>18</v>
      </c>
      <c r="W48" s="6">
        <v>11</v>
      </c>
      <c r="X48" s="15">
        <v>7</v>
      </c>
      <c r="Y48" s="15">
        <v>2</v>
      </c>
      <c r="Z48" s="15">
        <v>0</v>
      </c>
      <c r="AA48" s="14">
        <f t="shared" si="11"/>
        <v>20</v>
      </c>
      <c r="AB48" s="6"/>
    </row>
    <row r="49" spans="1:28" x14ac:dyDescent="0.2">
      <c r="B49" s="13">
        <v>41670</v>
      </c>
      <c r="C49" s="33">
        <f t="shared" si="12"/>
        <v>336</v>
      </c>
      <c r="D49" s="6" t="s">
        <v>52</v>
      </c>
      <c r="E49" s="14">
        <f>22*60</f>
        <v>1320</v>
      </c>
      <c r="F49" s="6" t="s">
        <v>247</v>
      </c>
      <c r="G49" s="33" t="s">
        <v>247</v>
      </c>
      <c r="H49" s="33" t="s">
        <v>247</v>
      </c>
      <c r="I49" s="43" t="s">
        <v>247</v>
      </c>
      <c r="J49" s="15">
        <v>6</v>
      </c>
      <c r="K49" s="15">
        <v>3</v>
      </c>
      <c r="L49" s="82">
        <v>9</v>
      </c>
      <c r="M49" s="43">
        <v>0</v>
      </c>
      <c r="N49" s="15">
        <v>14</v>
      </c>
      <c r="O49" s="15">
        <v>4</v>
      </c>
      <c r="P49" s="15">
        <v>2</v>
      </c>
      <c r="Q49" s="15">
        <v>0</v>
      </c>
      <c r="R49" s="6">
        <v>14</v>
      </c>
      <c r="S49" s="15">
        <v>5</v>
      </c>
      <c r="T49" s="15">
        <v>1</v>
      </c>
      <c r="U49" s="15">
        <v>0</v>
      </c>
      <c r="V49" s="14">
        <f t="shared" si="10"/>
        <v>20</v>
      </c>
      <c r="W49" s="6">
        <v>12</v>
      </c>
      <c r="X49" s="15">
        <v>4</v>
      </c>
      <c r="Y49" s="15">
        <v>4</v>
      </c>
      <c r="Z49" s="15">
        <v>0</v>
      </c>
      <c r="AA49" s="14">
        <f t="shared" si="11"/>
        <v>20</v>
      </c>
      <c r="AB49" s="6"/>
    </row>
    <row r="50" spans="1:28" x14ac:dyDescent="0.2">
      <c r="B50" s="13">
        <v>41670</v>
      </c>
      <c r="C50" s="33">
        <f t="shared" si="12"/>
        <v>336</v>
      </c>
      <c r="D50" s="6" t="s">
        <v>53</v>
      </c>
      <c r="E50" s="14">
        <f>20*60</f>
        <v>1200</v>
      </c>
      <c r="F50" s="6" t="s">
        <v>247</v>
      </c>
      <c r="G50" s="33" t="s">
        <v>247</v>
      </c>
      <c r="H50" s="33" t="s">
        <v>247</v>
      </c>
      <c r="I50" s="43" t="s">
        <v>247</v>
      </c>
      <c r="J50" s="15">
        <v>15</v>
      </c>
      <c r="K50" s="15">
        <v>3</v>
      </c>
      <c r="L50" s="82">
        <v>4</v>
      </c>
      <c r="M50" s="43">
        <v>0</v>
      </c>
      <c r="N50" s="15">
        <v>16</v>
      </c>
      <c r="O50" s="15">
        <v>2</v>
      </c>
      <c r="P50" s="82">
        <v>4</v>
      </c>
      <c r="Q50" s="15">
        <v>0</v>
      </c>
      <c r="R50" s="6">
        <v>19</v>
      </c>
      <c r="S50" s="15">
        <v>3</v>
      </c>
      <c r="T50" s="15">
        <v>3</v>
      </c>
      <c r="U50" s="15">
        <v>0</v>
      </c>
      <c r="V50" s="14">
        <f t="shared" si="10"/>
        <v>25</v>
      </c>
      <c r="W50" s="6">
        <v>19</v>
      </c>
      <c r="X50" s="15">
        <v>1</v>
      </c>
      <c r="Y50" s="15">
        <v>5</v>
      </c>
      <c r="Z50" s="15">
        <v>0</v>
      </c>
      <c r="AA50" s="14">
        <f t="shared" si="11"/>
        <v>25</v>
      </c>
      <c r="AB50" s="6"/>
    </row>
    <row r="51" spans="1:28" x14ac:dyDescent="0.2">
      <c r="A51" s="14"/>
      <c r="B51" s="13">
        <v>41670</v>
      </c>
      <c r="C51" s="33">
        <f t="shared" si="12"/>
        <v>336</v>
      </c>
      <c r="D51" s="6" t="s">
        <v>54</v>
      </c>
      <c r="E51" s="14">
        <f>25*60</f>
        <v>1500</v>
      </c>
      <c r="F51" s="6" t="s">
        <v>247</v>
      </c>
      <c r="G51" s="33" t="s">
        <v>247</v>
      </c>
      <c r="H51" s="33" t="s">
        <v>247</v>
      </c>
      <c r="I51" s="43" t="s">
        <v>247</v>
      </c>
      <c r="J51" s="15">
        <v>7</v>
      </c>
      <c r="K51" s="15">
        <v>4</v>
      </c>
      <c r="L51" s="82">
        <v>8</v>
      </c>
      <c r="M51" s="43">
        <v>0</v>
      </c>
      <c r="N51" s="15">
        <v>10</v>
      </c>
      <c r="O51" s="15">
        <v>4</v>
      </c>
      <c r="P51" s="15">
        <v>7</v>
      </c>
      <c r="Q51" s="46">
        <v>0</v>
      </c>
      <c r="R51" s="6">
        <v>10</v>
      </c>
      <c r="S51" s="15">
        <v>5</v>
      </c>
      <c r="T51" s="15">
        <v>6</v>
      </c>
      <c r="U51" s="15">
        <v>0</v>
      </c>
      <c r="V51" s="14">
        <f t="shared" si="10"/>
        <v>21</v>
      </c>
      <c r="W51" s="6">
        <v>10</v>
      </c>
      <c r="X51" s="15">
        <v>5</v>
      </c>
      <c r="Y51" s="15">
        <v>6</v>
      </c>
      <c r="Z51" s="15">
        <v>0</v>
      </c>
      <c r="AA51" s="14">
        <f t="shared" si="11"/>
        <v>21</v>
      </c>
      <c r="AB51" s="6"/>
    </row>
    <row r="52" spans="1:28" x14ac:dyDescent="0.2">
      <c r="A52" s="14"/>
      <c r="D52" s="16" t="s">
        <v>23</v>
      </c>
      <c r="E52" s="17">
        <f>AVERAGE(E46:E51)</f>
        <v>1460</v>
      </c>
      <c r="F52" s="16"/>
      <c r="G52" s="18"/>
      <c r="H52" s="18"/>
      <c r="I52" s="36"/>
      <c r="J52" s="57"/>
      <c r="K52" s="18"/>
      <c r="L52" s="18"/>
      <c r="M52" s="36"/>
      <c r="N52" s="57"/>
      <c r="O52" s="18"/>
      <c r="P52" s="18"/>
      <c r="Q52" s="18"/>
      <c r="R52" s="16"/>
      <c r="S52" s="18"/>
      <c r="T52" s="18"/>
      <c r="U52" s="18"/>
      <c r="V52" s="18">
        <f>AVERAGE(V46:V51)</f>
        <v>20.166666666666668</v>
      </c>
      <c r="W52" s="16"/>
      <c r="X52" s="18"/>
      <c r="Y52" s="18"/>
      <c r="Z52" s="18"/>
      <c r="AA52" s="18">
        <f>AVERAGE(AA46:AA51)</f>
        <v>20.5</v>
      </c>
      <c r="AB52" s="6"/>
    </row>
    <row r="53" spans="1:28" x14ac:dyDescent="0.2">
      <c r="D53" s="19" t="s">
        <v>14</v>
      </c>
      <c r="E53" s="20"/>
      <c r="F53" s="19"/>
      <c r="G53" s="20"/>
      <c r="H53" s="20"/>
      <c r="I53" s="21"/>
      <c r="J53" s="75"/>
      <c r="K53" s="20"/>
      <c r="L53" s="20"/>
      <c r="M53" s="21"/>
      <c r="N53" s="75"/>
      <c r="O53" s="20"/>
      <c r="P53" s="20"/>
      <c r="Q53" s="20"/>
      <c r="R53" s="19"/>
      <c r="S53" s="20"/>
      <c r="T53" s="20"/>
      <c r="U53" s="20"/>
      <c r="V53" s="20">
        <f>SUM(V46:V51)</f>
        <v>121</v>
      </c>
      <c r="W53" s="19"/>
      <c r="X53" s="20"/>
      <c r="Y53" s="20"/>
      <c r="Z53" s="20"/>
      <c r="AA53" s="20">
        <f>SUM(AA46:AA51)</f>
        <v>123</v>
      </c>
      <c r="AB53" s="6"/>
    </row>
    <row r="54" spans="1:28" x14ac:dyDescent="0.2">
      <c r="A54" s="23"/>
      <c r="B54" s="23"/>
      <c r="C54" s="23"/>
      <c r="D54" s="24" t="s">
        <v>55</v>
      </c>
      <c r="E54" s="23"/>
      <c r="F54" s="25"/>
      <c r="G54" s="23"/>
      <c r="H54" s="23"/>
      <c r="I54" s="26"/>
      <c r="J54" s="23"/>
      <c r="K54" s="23"/>
      <c r="L54" s="23"/>
      <c r="M54" s="26"/>
      <c r="N54" s="23"/>
      <c r="O54" s="23"/>
      <c r="P54" s="23"/>
      <c r="Q54" s="23"/>
      <c r="R54" s="25"/>
      <c r="S54" s="23"/>
      <c r="T54" s="23"/>
      <c r="U54" s="23"/>
      <c r="V54" s="23"/>
      <c r="W54" s="25"/>
      <c r="X54" s="23"/>
      <c r="Y54" s="23"/>
      <c r="Z54" s="23"/>
      <c r="AA54" s="23"/>
      <c r="AB54" s="35"/>
    </row>
    <row r="55" spans="1:28" x14ac:dyDescent="0.2">
      <c r="B55" s="13">
        <v>41765</v>
      </c>
      <c r="C55" s="33">
        <f>24*7*4</f>
        <v>672</v>
      </c>
      <c r="D55" s="6" t="s">
        <v>56</v>
      </c>
      <c r="E55" s="85">
        <f>20.5*60</f>
        <v>1230</v>
      </c>
      <c r="F55" s="6">
        <v>0</v>
      </c>
      <c r="G55">
        <v>1</v>
      </c>
      <c r="H55" t="s">
        <v>247</v>
      </c>
      <c r="I55" s="43">
        <v>0</v>
      </c>
      <c r="J55" s="15">
        <v>0</v>
      </c>
      <c r="K55" s="15">
        <v>2</v>
      </c>
      <c r="L55" s="15" t="s">
        <v>247</v>
      </c>
      <c r="M55" s="43">
        <v>0</v>
      </c>
      <c r="N55" s="15">
        <v>3</v>
      </c>
      <c r="O55" s="15">
        <v>3</v>
      </c>
      <c r="P55" s="15" t="s">
        <v>247</v>
      </c>
      <c r="Q55" s="15">
        <v>0</v>
      </c>
      <c r="R55" s="6">
        <v>17</v>
      </c>
      <c r="S55">
        <v>1</v>
      </c>
      <c r="T55" s="85">
        <v>0</v>
      </c>
      <c r="U55">
        <v>0</v>
      </c>
      <c r="V55" s="14">
        <f t="shared" ref="V55:V65" si="13">SUM(R55:U55)</f>
        <v>18</v>
      </c>
      <c r="W55" s="6">
        <v>24</v>
      </c>
      <c r="X55" s="15">
        <v>2</v>
      </c>
      <c r="Y55" s="15">
        <v>0</v>
      </c>
      <c r="Z55" s="15">
        <v>0</v>
      </c>
      <c r="AA55" s="14">
        <f t="shared" ref="AA55:AA65" si="14">SUM(W55:Z55)</f>
        <v>26</v>
      </c>
      <c r="AB55" s="6"/>
    </row>
    <row r="56" spans="1:28" x14ac:dyDescent="0.2">
      <c r="B56" s="13">
        <v>41765</v>
      </c>
      <c r="C56" s="33">
        <f t="shared" ref="C56:C65" si="15">24*7*4</f>
        <v>672</v>
      </c>
      <c r="D56" s="6" t="s">
        <v>57</v>
      </c>
      <c r="E56" s="85">
        <f>23*60</f>
        <v>1380</v>
      </c>
      <c r="F56" s="6">
        <v>0</v>
      </c>
      <c r="G56">
        <v>3</v>
      </c>
      <c r="H56" t="s">
        <v>247</v>
      </c>
      <c r="I56" s="43">
        <v>0</v>
      </c>
      <c r="J56" s="15">
        <v>2</v>
      </c>
      <c r="K56" s="15">
        <v>3</v>
      </c>
      <c r="L56" s="15" t="s">
        <v>247</v>
      </c>
      <c r="M56" s="43">
        <v>0</v>
      </c>
      <c r="N56" s="15">
        <v>7</v>
      </c>
      <c r="O56" s="15">
        <v>4</v>
      </c>
      <c r="P56" s="15" t="s">
        <v>247</v>
      </c>
      <c r="Q56" s="15">
        <v>0</v>
      </c>
      <c r="R56" s="6">
        <v>19</v>
      </c>
      <c r="S56">
        <v>0</v>
      </c>
      <c r="T56" s="85">
        <v>3</v>
      </c>
      <c r="U56">
        <v>0</v>
      </c>
      <c r="V56" s="14">
        <f t="shared" si="13"/>
        <v>22</v>
      </c>
      <c r="W56" s="6">
        <v>22</v>
      </c>
      <c r="X56" s="15">
        <v>2</v>
      </c>
      <c r="Y56" s="15">
        <v>0</v>
      </c>
      <c r="Z56" s="15">
        <v>0</v>
      </c>
      <c r="AA56" s="14">
        <f t="shared" si="14"/>
        <v>24</v>
      </c>
      <c r="AB56" s="6"/>
    </row>
    <row r="57" spans="1:28" x14ac:dyDescent="0.2">
      <c r="B57" s="13">
        <v>41765</v>
      </c>
      <c r="C57" s="33">
        <f t="shared" si="15"/>
        <v>672</v>
      </c>
      <c r="D57" s="6" t="s">
        <v>58</v>
      </c>
      <c r="E57" s="85">
        <f>25.5*60</f>
        <v>1530</v>
      </c>
      <c r="F57" s="6">
        <v>0</v>
      </c>
      <c r="G57">
        <v>0</v>
      </c>
      <c r="H57" t="s">
        <v>247</v>
      </c>
      <c r="I57" s="43">
        <v>0</v>
      </c>
      <c r="J57" s="15">
        <v>0</v>
      </c>
      <c r="K57" s="15">
        <v>2</v>
      </c>
      <c r="L57" s="15" t="s">
        <v>247</v>
      </c>
      <c r="M57" s="43">
        <v>0</v>
      </c>
      <c r="N57" s="15">
        <v>5</v>
      </c>
      <c r="O57" s="15">
        <v>2</v>
      </c>
      <c r="P57" s="15" t="s">
        <v>247</v>
      </c>
      <c r="Q57" s="15">
        <v>0</v>
      </c>
      <c r="R57" s="6">
        <v>15</v>
      </c>
      <c r="S57">
        <v>1</v>
      </c>
      <c r="T57" s="85">
        <v>2</v>
      </c>
      <c r="U57">
        <v>0</v>
      </c>
      <c r="V57" s="14">
        <f t="shared" si="13"/>
        <v>18</v>
      </c>
      <c r="W57" s="6">
        <v>17</v>
      </c>
      <c r="X57" s="15">
        <v>1</v>
      </c>
      <c r="Y57" s="15">
        <v>1</v>
      </c>
      <c r="Z57" s="15">
        <v>0</v>
      </c>
      <c r="AA57" s="43">
        <f t="shared" si="14"/>
        <v>19</v>
      </c>
      <c r="AB57" s="15"/>
    </row>
    <row r="58" spans="1:28" x14ac:dyDescent="0.2">
      <c r="B58" s="13">
        <v>41765</v>
      </c>
      <c r="C58" s="33">
        <f t="shared" si="15"/>
        <v>672</v>
      </c>
      <c r="D58" s="6" t="s">
        <v>59</v>
      </c>
      <c r="E58" s="85">
        <f>21*60</f>
        <v>1260</v>
      </c>
      <c r="F58" s="6">
        <v>0</v>
      </c>
      <c r="G58">
        <v>0</v>
      </c>
      <c r="H58" t="s">
        <v>247</v>
      </c>
      <c r="I58" s="43">
        <v>0</v>
      </c>
      <c r="J58" s="15">
        <v>0</v>
      </c>
      <c r="K58" s="15">
        <v>3</v>
      </c>
      <c r="L58" s="15" t="s">
        <v>247</v>
      </c>
      <c r="M58" s="43">
        <v>0</v>
      </c>
      <c r="N58" s="15">
        <v>7</v>
      </c>
      <c r="O58" s="15">
        <v>2</v>
      </c>
      <c r="P58" s="15" t="s">
        <v>247</v>
      </c>
      <c r="Q58" s="15">
        <v>0</v>
      </c>
      <c r="R58" s="6">
        <v>17</v>
      </c>
      <c r="S58">
        <v>1</v>
      </c>
      <c r="T58">
        <v>6</v>
      </c>
      <c r="U58">
        <v>0</v>
      </c>
      <c r="V58" s="14">
        <f t="shared" si="13"/>
        <v>24</v>
      </c>
      <c r="W58" s="6">
        <v>20</v>
      </c>
      <c r="X58" s="15">
        <v>3</v>
      </c>
      <c r="Y58" s="15">
        <v>1</v>
      </c>
      <c r="Z58" s="15">
        <v>0</v>
      </c>
      <c r="AA58" s="43">
        <f t="shared" si="14"/>
        <v>24</v>
      </c>
    </row>
    <row r="59" spans="1:28" x14ac:dyDescent="0.2">
      <c r="B59" s="13">
        <v>41765</v>
      </c>
      <c r="C59" s="33">
        <f t="shared" si="15"/>
        <v>672</v>
      </c>
      <c r="D59" s="6" t="s">
        <v>60</v>
      </c>
      <c r="E59" s="85">
        <f>22*60</f>
        <v>1320</v>
      </c>
      <c r="F59" s="6">
        <v>0</v>
      </c>
      <c r="G59">
        <v>1</v>
      </c>
      <c r="H59" t="s">
        <v>247</v>
      </c>
      <c r="I59" s="43">
        <v>0</v>
      </c>
      <c r="J59" s="15">
        <v>1</v>
      </c>
      <c r="K59" s="15">
        <v>2</v>
      </c>
      <c r="L59" s="15" t="s">
        <v>247</v>
      </c>
      <c r="M59" s="43">
        <v>0</v>
      </c>
      <c r="N59" s="15">
        <v>9</v>
      </c>
      <c r="O59" s="15">
        <v>1</v>
      </c>
      <c r="P59" s="15" t="s">
        <v>247</v>
      </c>
      <c r="Q59" s="15">
        <v>0</v>
      </c>
      <c r="R59" s="6">
        <v>17</v>
      </c>
      <c r="S59">
        <v>1</v>
      </c>
      <c r="T59">
        <v>3</v>
      </c>
      <c r="U59">
        <v>0</v>
      </c>
      <c r="V59" s="14">
        <f t="shared" si="13"/>
        <v>21</v>
      </c>
      <c r="W59" s="6">
        <v>16</v>
      </c>
      <c r="X59" s="15">
        <v>5</v>
      </c>
      <c r="Y59" s="15">
        <v>0</v>
      </c>
      <c r="Z59" s="15">
        <v>0</v>
      </c>
      <c r="AA59" s="43">
        <f t="shared" si="14"/>
        <v>21</v>
      </c>
    </row>
    <row r="60" spans="1:28" x14ac:dyDescent="0.2">
      <c r="B60" s="13">
        <v>41765</v>
      </c>
      <c r="C60" s="33">
        <f t="shared" si="15"/>
        <v>672</v>
      </c>
      <c r="D60" s="6" t="s">
        <v>61</v>
      </c>
      <c r="E60" s="83">
        <f>15*60</f>
        <v>900</v>
      </c>
      <c r="F60" s="32">
        <v>0</v>
      </c>
      <c r="G60">
        <v>0</v>
      </c>
      <c r="H60" t="s">
        <v>247</v>
      </c>
      <c r="I60" s="43">
        <v>0</v>
      </c>
      <c r="J60" s="27">
        <v>1</v>
      </c>
      <c r="K60" s="15">
        <v>2</v>
      </c>
      <c r="L60" s="15" t="s">
        <v>247</v>
      </c>
      <c r="M60" s="43">
        <v>0</v>
      </c>
      <c r="N60" s="27">
        <v>6</v>
      </c>
      <c r="O60" s="15">
        <v>4</v>
      </c>
      <c r="P60" s="15" t="s">
        <v>247</v>
      </c>
      <c r="Q60" s="15">
        <v>0</v>
      </c>
      <c r="R60" s="32">
        <v>18</v>
      </c>
      <c r="S60">
        <v>2</v>
      </c>
      <c r="T60">
        <v>1</v>
      </c>
      <c r="U60">
        <v>0</v>
      </c>
      <c r="V60" s="14">
        <f t="shared" si="13"/>
        <v>21</v>
      </c>
      <c r="W60" s="32">
        <v>16</v>
      </c>
      <c r="X60" s="15">
        <v>4</v>
      </c>
      <c r="Y60" s="15">
        <v>1</v>
      </c>
      <c r="Z60" s="15">
        <v>0</v>
      </c>
      <c r="AA60" s="43">
        <f t="shared" si="14"/>
        <v>21</v>
      </c>
    </row>
    <row r="61" spans="1:28" x14ac:dyDescent="0.2">
      <c r="B61" s="13">
        <v>41765</v>
      </c>
      <c r="C61" s="33">
        <f t="shared" si="15"/>
        <v>672</v>
      </c>
      <c r="D61" s="6" t="s">
        <v>62</v>
      </c>
      <c r="E61" s="83">
        <f>26*60</f>
        <v>1560</v>
      </c>
      <c r="F61" s="32">
        <v>0</v>
      </c>
      <c r="G61">
        <v>0</v>
      </c>
      <c r="H61" t="s">
        <v>247</v>
      </c>
      <c r="I61" s="43">
        <v>0</v>
      </c>
      <c r="J61" s="27">
        <v>0</v>
      </c>
      <c r="K61" s="15">
        <v>1</v>
      </c>
      <c r="L61" s="15" t="s">
        <v>247</v>
      </c>
      <c r="M61" s="43">
        <v>0</v>
      </c>
      <c r="N61" s="27">
        <v>7</v>
      </c>
      <c r="O61" s="15">
        <v>2</v>
      </c>
      <c r="P61" s="15" t="s">
        <v>247</v>
      </c>
      <c r="Q61" s="15">
        <v>0</v>
      </c>
      <c r="R61" s="86">
        <v>23</v>
      </c>
      <c r="S61">
        <v>0</v>
      </c>
      <c r="T61">
        <v>0</v>
      </c>
      <c r="U61">
        <v>0</v>
      </c>
      <c r="V61" s="14">
        <f t="shared" si="13"/>
        <v>23</v>
      </c>
      <c r="W61" s="32">
        <v>19</v>
      </c>
      <c r="X61" s="15">
        <v>1</v>
      </c>
      <c r="Y61" s="15">
        <v>0</v>
      </c>
      <c r="Z61" s="15">
        <v>0</v>
      </c>
      <c r="AA61" s="43">
        <f t="shared" si="14"/>
        <v>20</v>
      </c>
    </row>
    <row r="62" spans="1:28" x14ac:dyDescent="0.2">
      <c r="B62" s="13">
        <v>41765</v>
      </c>
      <c r="C62" s="33">
        <f t="shared" si="15"/>
        <v>672</v>
      </c>
      <c r="D62" s="6" t="s">
        <v>63</v>
      </c>
      <c r="E62" s="83">
        <f>20*60</f>
        <v>1200</v>
      </c>
      <c r="F62" s="32">
        <v>0</v>
      </c>
      <c r="G62">
        <v>0</v>
      </c>
      <c r="H62" t="s">
        <v>247</v>
      </c>
      <c r="I62" s="43">
        <v>0</v>
      </c>
      <c r="J62" s="27">
        <v>0</v>
      </c>
      <c r="K62" s="15">
        <v>2</v>
      </c>
      <c r="L62" s="15" t="s">
        <v>247</v>
      </c>
      <c r="M62" s="43">
        <v>0</v>
      </c>
      <c r="N62" s="27">
        <v>4</v>
      </c>
      <c r="O62" s="15">
        <v>2</v>
      </c>
      <c r="P62" s="15" t="s">
        <v>247</v>
      </c>
      <c r="Q62" s="15">
        <v>0</v>
      </c>
      <c r="R62" s="32">
        <v>16</v>
      </c>
      <c r="S62">
        <v>3</v>
      </c>
      <c r="T62" s="85">
        <v>2</v>
      </c>
      <c r="U62">
        <v>0</v>
      </c>
      <c r="V62" s="14">
        <f t="shared" si="13"/>
        <v>21</v>
      </c>
      <c r="W62" s="32">
        <v>21</v>
      </c>
      <c r="X62" s="15">
        <v>2</v>
      </c>
      <c r="Y62" s="15">
        <v>2</v>
      </c>
      <c r="Z62" s="15">
        <v>0</v>
      </c>
      <c r="AA62" s="43">
        <f t="shared" si="14"/>
        <v>25</v>
      </c>
    </row>
    <row r="63" spans="1:28" x14ac:dyDescent="0.2">
      <c r="B63" s="13">
        <v>41765</v>
      </c>
      <c r="C63" s="33">
        <f t="shared" si="15"/>
        <v>672</v>
      </c>
      <c r="D63" s="6" t="s">
        <v>64</v>
      </c>
      <c r="E63" s="83">
        <f>20.5*60</f>
        <v>1230</v>
      </c>
      <c r="F63" s="32">
        <v>0</v>
      </c>
      <c r="G63">
        <v>0</v>
      </c>
      <c r="H63" t="s">
        <v>247</v>
      </c>
      <c r="I63" s="43">
        <v>0</v>
      </c>
      <c r="J63" s="27">
        <v>0</v>
      </c>
      <c r="K63" s="15">
        <v>3</v>
      </c>
      <c r="L63" s="15" t="s">
        <v>247</v>
      </c>
      <c r="M63" s="43">
        <v>0</v>
      </c>
      <c r="N63" s="27">
        <v>2</v>
      </c>
      <c r="O63" s="15">
        <v>4</v>
      </c>
      <c r="P63" s="15" t="s">
        <v>247</v>
      </c>
      <c r="Q63" s="15">
        <v>0</v>
      </c>
      <c r="R63" s="32">
        <v>17</v>
      </c>
      <c r="S63">
        <v>2</v>
      </c>
      <c r="T63">
        <v>0</v>
      </c>
      <c r="U63">
        <v>0</v>
      </c>
      <c r="V63" s="14">
        <f t="shared" si="13"/>
        <v>19</v>
      </c>
      <c r="W63" s="32">
        <v>19</v>
      </c>
      <c r="X63" s="15">
        <v>0</v>
      </c>
      <c r="Y63" s="15">
        <v>0</v>
      </c>
      <c r="Z63" s="15">
        <v>0</v>
      </c>
      <c r="AA63" s="43">
        <f t="shared" si="14"/>
        <v>19</v>
      </c>
    </row>
    <row r="64" spans="1:28" x14ac:dyDescent="0.2">
      <c r="B64" s="13">
        <v>41765</v>
      </c>
      <c r="C64" s="33">
        <f t="shared" si="15"/>
        <v>672</v>
      </c>
      <c r="D64" s="6" t="s">
        <v>65</v>
      </c>
      <c r="E64" s="83">
        <f>19*60</f>
        <v>1140</v>
      </c>
      <c r="F64" s="32">
        <v>0</v>
      </c>
      <c r="G64">
        <v>0</v>
      </c>
      <c r="H64" t="s">
        <v>247</v>
      </c>
      <c r="I64" s="43">
        <v>0</v>
      </c>
      <c r="J64" s="27">
        <v>0</v>
      </c>
      <c r="K64" s="15">
        <v>4</v>
      </c>
      <c r="L64" s="15" t="s">
        <v>247</v>
      </c>
      <c r="M64" s="43">
        <v>0</v>
      </c>
      <c r="N64" s="27">
        <v>8</v>
      </c>
      <c r="O64" s="15">
        <v>0</v>
      </c>
      <c r="P64" s="15" t="s">
        <v>247</v>
      </c>
      <c r="Q64" s="15">
        <v>0</v>
      </c>
      <c r="R64" s="32">
        <v>15</v>
      </c>
      <c r="S64">
        <v>2</v>
      </c>
      <c r="T64">
        <v>1</v>
      </c>
      <c r="U64">
        <v>0</v>
      </c>
      <c r="V64" s="14">
        <f t="shared" si="13"/>
        <v>18</v>
      </c>
      <c r="W64" s="32">
        <v>15</v>
      </c>
      <c r="X64" s="15">
        <v>2</v>
      </c>
      <c r="Y64" s="15">
        <v>1</v>
      </c>
      <c r="Z64" s="15">
        <v>0</v>
      </c>
      <c r="AA64" s="43">
        <f t="shared" si="14"/>
        <v>18</v>
      </c>
    </row>
    <row r="65" spans="1:28" x14ac:dyDescent="0.2">
      <c r="A65" s="14"/>
      <c r="B65" s="13">
        <v>41765</v>
      </c>
      <c r="C65" s="33">
        <f t="shared" si="15"/>
        <v>672</v>
      </c>
      <c r="D65" s="6" t="s">
        <v>66</v>
      </c>
      <c r="E65" s="83">
        <f>14.5*60</f>
        <v>870</v>
      </c>
      <c r="F65" s="32">
        <v>0</v>
      </c>
      <c r="G65">
        <v>0</v>
      </c>
      <c r="H65" t="s">
        <v>247</v>
      </c>
      <c r="I65" s="43">
        <v>0</v>
      </c>
      <c r="J65" s="27">
        <v>0</v>
      </c>
      <c r="K65" s="15">
        <v>4</v>
      </c>
      <c r="L65" s="15" t="s">
        <v>247</v>
      </c>
      <c r="M65" s="43">
        <v>0</v>
      </c>
      <c r="N65" s="27">
        <v>8</v>
      </c>
      <c r="O65" s="15">
        <v>0</v>
      </c>
      <c r="P65" s="15" t="s">
        <v>247</v>
      </c>
      <c r="Q65" s="15">
        <v>0</v>
      </c>
      <c r="R65" s="32">
        <v>16</v>
      </c>
      <c r="S65">
        <v>5</v>
      </c>
      <c r="T65">
        <v>0</v>
      </c>
      <c r="U65">
        <v>0</v>
      </c>
      <c r="V65" s="14">
        <f t="shared" si="13"/>
        <v>21</v>
      </c>
      <c r="W65" s="32">
        <v>13</v>
      </c>
      <c r="X65" s="15">
        <v>5</v>
      </c>
      <c r="Y65" s="15">
        <v>3</v>
      </c>
      <c r="Z65" s="15">
        <v>0</v>
      </c>
      <c r="AA65" s="43">
        <f t="shared" si="14"/>
        <v>21</v>
      </c>
    </row>
    <row r="66" spans="1:28" x14ac:dyDescent="0.2">
      <c r="A66" s="14"/>
      <c r="D66" s="16" t="s">
        <v>23</v>
      </c>
      <c r="E66" s="36">
        <f>AVERAGE(E55:E65)</f>
        <v>1238.1818181818182</v>
      </c>
      <c r="F66" s="17"/>
      <c r="G66" s="17"/>
      <c r="H66" s="17"/>
      <c r="I66" s="36"/>
      <c r="J66" s="17"/>
      <c r="K66" s="17"/>
      <c r="L66" s="17"/>
      <c r="M66" s="36"/>
      <c r="N66" s="17"/>
      <c r="O66" s="17"/>
      <c r="P66" s="17"/>
      <c r="Q66" s="36"/>
      <c r="R66" s="17"/>
      <c r="S66" s="17"/>
      <c r="T66" s="17"/>
      <c r="U66" s="17"/>
      <c r="V66" s="17">
        <f>AVERAGE(V55:V65)</f>
        <v>20.545454545454547</v>
      </c>
      <c r="W66" s="17"/>
      <c r="X66" s="17"/>
      <c r="Y66" s="17"/>
      <c r="Z66" s="17"/>
      <c r="AA66" s="36">
        <f>AVERAGE(AA55:AA65)</f>
        <v>21.636363636363637</v>
      </c>
    </row>
    <row r="67" spans="1:28" x14ac:dyDescent="0.2">
      <c r="D67" s="22" t="s">
        <v>14</v>
      </c>
      <c r="E67" s="21"/>
      <c r="F67" s="20"/>
      <c r="G67" s="20"/>
      <c r="H67" s="20"/>
      <c r="I67" s="21"/>
      <c r="J67" s="20"/>
      <c r="K67" s="20"/>
      <c r="L67" s="20"/>
      <c r="M67" s="21"/>
      <c r="N67" s="20"/>
      <c r="O67" s="20"/>
      <c r="P67" s="20"/>
      <c r="Q67" s="21"/>
      <c r="R67" s="61"/>
      <c r="S67" s="20"/>
      <c r="T67" s="20"/>
      <c r="U67" s="20"/>
      <c r="V67" s="22">
        <f>SUM(V55:V65)</f>
        <v>226</v>
      </c>
      <c r="W67" s="20"/>
      <c r="X67" s="20"/>
      <c r="Y67" s="20"/>
      <c r="Z67" s="22"/>
      <c r="AA67" s="21">
        <f>SUM(AA55:AA65)</f>
        <v>238</v>
      </c>
    </row>
    <row r="68" spans="1:28" x14ac:dyDescent="0.2">
      <c r="A68" s="23"/>
      <c r="B68" s="23"/>
      <c r="C68" s="23"/>
      <c r="D68" s="24" t="s">
        <v>67</v>
      </c>
      <c r="E68" s="23"/>
      <c r="F68" s="25"/>
      <c r="G68" s="23"/>
      <c r="H68" s="23"/>
      <c r="I68" s="26"/>
      <c r="J68" s="23"/>
      <c r="K68" s="23"/>
      <c r="L68" s="23"/>
      <c r="M68" s="26"/>
      <c r="N68" s="23"/>
      <c r="O68" s="23"/>
      <c r="P68" s="23"/>
      <c r="Q68" s="26"/>
      <c r="R68" s="23"/>
      <c r="S68" s="23"/>
      <c r="T68" s="23"/>
      <c r="U68" s="23"/>
      <c r="V68" s="23"/>
      <c r="W68" s="25"/>
      <c r="X68" s="23"/>
      <c r="Y68" s="23"/>
      <c r="Z68" s="23"/>
      <c r="AA68" s="26"/>
      <c r="AB68" s="26"/>
    </row>
    <row r="69" spans="1:28" x14ac:dyDescent="0.2">
      <c r="B69" s="13">
        <v>41795</v>
      </c>
      <c r="C69" s="33">
        <f>24*7*8</f>
        <v>1344</v>
      </c>
      <c r="D69" s="6" t="s">
        <v>68</v>
      </c>
      <c r="E69" s="14">
        <f>60*25</f>
        <v>1500</v>
      </c>
      <c r="F69" s="6">
        <v>0</v>
      </c>
      <c r="G69">
        <v>0</v>
      </c>
      <c r="H69" t="s">
        <v>247</v>
      </c>
      <c r="I69" s="43">
        <v>0</v>
      </c>
      <c r="J69" s="15">
        <v>1</v>
      </c>
      <c r="K69" s="15">
        <v>1</v>
      </c>
      <c r="L69" s="15" t="s">
        <v>247</v>
      </c>
      <c r="M69" s="43">
        <v>0</v>
      </c>
      <c r="N69" s="15">
        <v>8</v>
      </c>
      <c r="O69" s="15">
        <v>1</v>
      </c>
      <c r="P69" s="15" t="s">
        <v>247</v>
      </c>
      <c r="Q69" s="43">
        <v>0</v>
      </c>
      <c r="R69" s="15">
        <v>9</v>
      </c>
      <c r="S69" s="15">
        <v>2</v>
      </c>
      <c r="T69" s="15">
        <v>3</v>
      </c>
      <c r="U69" s="15">
        <v>0</v>
      </c>
      <c r="V69" s="14">
        <f t="shared" ref="V69:V74" si="16">SUM(R69:U69)</f>
        <v>14</v>
      </c>
      <c r="W69" s="6">
        <v>9</v>
      </c>
      <c r="X69" s="15">
        <v>1</v>
      </c>
      <c r="Y69" s="15">
        <v>3</v>
      </c>
      <c r="Z69" s="15">
        <v>0</v>
      </c>
      <c r="AA69" s="43">
        <f t="shared" ref="AA69:AA74" si="17">SUM(W69:Z69)</f>
        <v>13</v>
      </c>
      <c r="AB69" s="15"/>
    </row>
    <row r="70" spans="1:28" x14ac:dyDescent="0.2">
      <c r="B70" s="13">
        <v>41795</v>
      </c>
      <c r="C70" s="33">
        <f t="shared" ref="C70:C74" si="18">24*7*8</f>
        <v>1344</v>
      </c>
      <c r="D70" s="6" t="s">
        <v>69</v>
      </c>
      <c r="E70" s="14">
        <f>17*60</f>
        <v>1020</v>
      </c>
      <c r="F70" s="6">
        <v>0</v>
      </c>
      <c r="G70">
        <v>0</v>
      </c>
      <c r="H70" t="s">
        <v>247</v>
      </c>
      <c r="I70" s="43">
        <v>0</v>
      </c>
      <c r="J70" s="15">
        <v>1</v>
      </c>
      <c r="K70" s="15">
        <v>0</v>
      </c>
      <c r="L70" s="15" t="s">
        <v>247</v>
      </c>
      <c r="M70" s="43">
        <v>0</v>
      </c>
      <c r="N70" s="15">
        <v>3</v>
      </c>
      <c r="O70" s="15">
        <v>3</v>
      </c>
      <c r="P70" s="15" t="s">
        <v>247</v>
      </c>
      <c r="Q70" s="43">
        <v>0</v>
      </c>
      <c r="R70" s="15">
        <v>6</v>
      </c>
      <c r="S70" s="15">
        <v>0</v>
      </c>
      <c r="T70" s="15">
        <v>5</v>
      </c>
      <c r="U70" s="15">
        <v>0</v>
      </c>
      <c r="V70" s="14">
        <f t="shared" si="16"/>
        <v>11</v>
      </c>
      <c r="W70" s="6">
        <v>7</v>
      </c>
      <c r="X70" s="15">
        <v>1</v>
      </c>
      <c r="Y70" s="15">
        <v>5</v>
      </c>
      <c r="Z70" s="15">
        <v>0</v>
      </c>
      <c r="AA70" s="43">
        <f t="shared" si="17"/>
        <v>13</v>
      </c>
      <c r="AB70" s="15"/>
    </row>
    <row r="71" spans="1:28" x14ac:dyDescent="0.2">
      <c r="B71" s="13">
        <v>41795</v>
      </c>
      <c r="C71" s="33">
        <f t="shared" si="18"/>
        <v>1344</v>
      </c>
      <c r="D71" s="6" t="s">
        <v>70</v>
      </c>
      <c r="E71" s="14">
        <f>20*60</f>
        <v>1200</v>
      </c>
      <c r="F71" s="6">
        <v>0</v>
      </c>
      <c r="G71">
        <v>0</v>
      </c>
      <c r="H71" t="s">
        <v>247</v>
      </c>
      <c r="I71" s="43">
        <v>0</v>
      </c>
      <c r="J71" s="15">
        <v>2</v>
      </c>
      <c r="K71" s="15">
        <v>0</v>
      </c>
      <c r="L71" s="15" t="s">
        <v>247</v>
      </c>
      <c r="M71" s="43">
        <v>0</v>
      </c>
      <c r="N71" s="15">
        <v>4</v>
      </c>
      <c r="O71" s="15">
        <v>2</v>
      </c>
      <c r="P71" s="15" t="s">
        <v>247</v>
      </c>
      <c r="Q71" s="43">
        <v>0</v>
      </c>
      <c r="R71" s="15">
        <v>7</v>
      </c>
      <c r="S71" s="15">
        <v>2</v>
      </c>
      <c r="T71" s="15">
        <v>6</v>
      </c>
      <c r="U71" s="15">
        <v>0</v>
      </c>
      <c r="V71" s="14">
        <f t="shared" si="16"/>
        <v>15</v>
      </c>
      <c r="W71" s="6">
        <v>9</v>
      </c>
      <c r="X71" s="15">
        <v>1</v>
      </c>
      <c r="Y71" s="15">
        <v>3</v>
      </c>
      <c r="Z71" s="15">
        <v>0</v>
      </c>
      <c r="AA71" s="43">
        <f t="shared" si="17"/>
        <v>13</v>
      </c>
      <c r="AB71" s="15"/>
    </row>
    <row r="72" spans="1:28" x14ac:dyDescent="0.2">
      <c r="B72" s="13">
        <v>41795</v>
      </c>
      <c r="C72" s="33">
        <f t="shared" si="18"/>
        <v>1344</v>
      </c>
      <c r="D72" s="6" t="s">
        <v>71</v>
      </c>
      <c r="E72" s="14">
        <f>20*60</f>
        <v>1200</v>
      </c>
      <c r="F72" s="6">
        <v>0</v>
      </c>
      <c r="G72">
        <v>0</v>
      </c>
      <c r="H72" t="s">
        <v>247</v>
      </c>
      <c r="I72" s="43">
        <v>0</v>
      </c>
      <c r="J72" s="15">
        <v>0</v>
      </c>
      <c r="K72" s="15">
        <v>1</v>
      </c>
      <c r="L72" s="15" t="s">
        <v>247</v>
      </c>
      <c r="M72" s="43">
        <v>0</v>
      </c>
      <c r="N72" s="15">
        <v>0</v>
      </c>
      <c r="O72" s="15">
        <v>2</v>
      </c>
      <c r="P72" s="15" t="s">
        <v>247</v>
      </c>
      <c r="Q72" s="43">
        <v>0</v>
      </c>
      <c r="R72" s="15">
        <v>7</v>
      </c>
      <c r="S72" s="15">
        <v>2</v>
      </c>
      <c r="T72" s="15">
        <v>8</v>
      </c>
      <c r="U72" s="15">
        <v>0</v>
      </c>
      <c r="V72" s="14">
        <f t="shared" si="16"/>
        <v>17</v>
      </c>
      <c r="W72" s="6">
        <v>8</v>
      </c>
      <c r="X72" s="15">
        <v>2</v>
      </c>
      <c r="Y72" s="15">
        <v>8</v>
      </c>
      <c r="Z72" s="15">
        <v>0</v>
      </c>
      <c r="AA72" s="43">
        <f t="shared" si="17"/>
        <v>18</v>
      </c>
    </row>
    <row r="73" spans="1:28" x14ac:dyDescent="0.2">
      <c r="B73" s="13">
        <v>41795</v>
      </c>
      <c r="C73" s="33">
        <f t="shared" si="18"/>
        <v>1344</v>
      </c>
      <c r="D73" s="6" t="s">
        <v>72</v>
      </c>
      <c r="E73" s="14">
        <f>16*60</f>
        <v>960</v>
      </c>
      <c r="F73" s="6">
        <v>0</v>
      </c>
      <c r="G73">
        <v>0</v>
      </c>
      <c r="H73" t="s">
        <v>247</v>
      </c>
      <c r="I73" s="43">
        <v>0</v>
      </c>
      <c r="J73" s="15">
        <v>0</v>
      </c>
      <c r="K73" s="15">
        <v>0</v>
      </c>
      <c r="L73" s="15" t="s">
        <v>247</v>
      </c>
      <c r="M73" s="43">
        <v>0</v>
      </c>
      <c r="N73" s="15">
        <v>0</v>
      </c>
      <c r="O73" s="15">
        <v>1</v>
      </c>
      <c r="P73" s="15" t="s">
        <v>247</v>
      </c>
      <c r="Q73" s="43">
        <v>0</v>
      </c>
      <c r="R73" s="15">
        <v>4</v>
      </c>
      <c r="S73" s="15">
        <v>0</v>
      </c>
      <c r="T73" s="15">
        <v>10</v>
      </c>
      <c r="U73" s="15">
        <v>0</v>
      </c>
      <c r="V73" s="14">
        <f t="shared" si="16"/>
        <v>14</v>
      </c>
      <c r="W73" s="6">
        <v>5</v>
      </c>
      <c r="X73" s="15">
        <v>1</v>
      </c>
      <c r="Y73" s="15">
        <v>7</v>
      </c>
      <c r="Z73" s="15">
        <v>0</v>
      </c>
      <c r="AA73" s="43">
        <f t="shared" si="17"/>
        <v>13</v>
      </c>
    </row>
    <row r="74" spans="1:28" x14ac:dyDescent="0.2">
      <c r="B74" s="13">
        <v>41795</v>
      </c>
      <c r="C74" s="33">
        <f t="shared" si="18"/>
        <v>1344</v>
      </c>
      <c r="D74" s="6" t="s">
        <v>73</v>
      </c>
      <c r="E74" s="34">
        <f>31*60</f>
        <v>1860</v>
      </c>
      <c r="F74" s="32">
        <v>0</v>
      </c>
      <c r="G74">
        <v>0</v>
      </c>
      <c r="H74" t="s">
        <v>247</v>
      </c>
      <c r="I74" s="43">
        <v>0</v>
      </c>
      <c r="J74" s="27">
        <v>2</v>
      </c>
      <c r="K74" s="15">
        <v>1</v>
      </c>
      <c r="L74" s="15" t="s">
        <v>247</v>
      </c>
      <c r="M74" s="43">
        <v>0</v>
      </c>
      <c r="N74" s="27">
        <v>8</v>
      </c>
      <c r="O74" s="15">
        <v>0</v>
      </c>
      <c r="P74" s="15" t="s">
        <v>247</v>
      </c>
      <c r="Q74" s="43">
        <v>0</v>
      </c>
      <c r="R74" s="27">
        <v>10</v>
      </c>
      <c r="S74" s="15">
        <v>0</v>
      </c>
      <c r="T74" s="15">
        <v>8</v>
      </c>
      <c r="U74" s="15">
        <v>0</v>
      </c>
      <c r="V74" s="14">
        <f t="shared" si="16"/>
        <v>18</v>
      </c>
      <c r="W74" s="32">
        <v>10</v>
      </c>
      <c r="X74" s="15">
        <v>0</v>
      </c>
      <c r="Y74" s="15">
        <v>7</v>
      </c>
      <c r="Z74" s="15">
        <v>0</v>
      </c>
      <c r="AA74" s="43">
        <f t="shared" si="17"/>
        <v>17</v>
      </c>
    </row>
    <row r="75" spans="1:28" x14ac:dyDescent="0.2">
      <c r="D75" s="16" t="s">
        <v>23</v>
      </c>
      <c r="E75" s="36">
        <f>AVERAGE(E69:E74)</f>
        <v>1290</v>
      </c>
      <c r="F75" s="18"/>
      <c r="G75" s="18"/>
      <c r="H75" s="18"/>
      <c r="I75" s="36"/>
      <c r="J75" s="18"/>
      <c r="K75" s="18"/>
      <c r="L75" s="18"/>
      <c r="M75" s="36"/>
      <c r="N75" s="18"/>
      <c r="O75" s="18"/>
      <c r="P75" s="18"/>
      <c r="Q75" s="36"/>
      <c r="R75" s="18"/>
      <c r="S75" s="18"/>
      <c r="T75" s="18"/>
      <c r="U75" s="18"/>
      <c r="V75" s="36">
        <f>AVERAGE(V69:V74)</f>
        <v>14.833333333333334</v>
      </c>
      <c r="W75" s="18"/>
      <c r="X75" s="18"/>
      <c r="Y75" s="18"/>
      <c r="Z75" s="18"/>
      <c r="AA75" s="36">
        <f>AVERAGE(AA69:AA74)</f>
        <v>14.5</v>
      </c>
    </row>
    <row r="76" spans="1:28" x14ac:dyDescent="0.2">
      <c r="D76" s="22" t="s">
        <v>14</v>
      </c>
      <c r="E76" s="21"/>
      <c r="F76" s="20"/>
      <c r="G76" s="20"/>
      <c r="H76" s="20"/>
      <c r="I76" s="21"/>
      <c r="J76" s="20"/>
      <c r="K76" s="20"/>
      <c r="L76" s="20"/>
      <c r="M76" s="21"/>
      <c r="N76" s="20"/>
      <c r="O76" s="20"/>
      <c r="P76" s="20"/>
      <c r="Q76" s="21"/>
      <c r="R76" s="61"/>
      <c r="S76" s="20"/>
      <c r="T76" s="20"/>
      <c r="U76" s="20"/>
      <c r="V76" s="22">
        <f>SUM(V69:V74)</f>
        <v>89</v>
      </c>
      <c r="W76" s="20"/>
      <c r="X76" s="20"/>
      <c r="Y76" s="20"/>
      <c r="Z76" s="22"/>
      <c r="AA76" s="21">
        <f>SUM(AA69:AA74)</f>
        <v>87</v>
      </c>
    </row>
    <row r="77" spans="1:28" x14ac:dyDescent="0.2">
      <c r="A77" s="23"/>
      <c r="B77" s="23"/>
      <c r="C77" s="23"/>
      <c r="D77" s="24" t="s">
        <v>74</v>
      </c>
      <c r="E77" s="26"/>
      <c r="F77" s="23"/>
      <c r="G77" s="23"/>
      <c r="H77" s="23"/>
      <c r="I77" s="26"/>
      <c r="J77" s="23"/>
      <c r="K77" s="23"/>
      <c r="L77" s="23"/>
      <c r="M77" s="26"/>
      <c r="N77" s="23"/>
      <c r="O77" s="23"/>
      <c r="P77" s="23"/>
      <c r="Q77" s="26"/>
      <c r="R77" s="23"/>
      <c r="S77" s="23"/>
      <c r="T77" s="23"/>
      <c r="U77" s="23"/>
      <c r="V77" s="23"/>
      <c r="W77" s="25"/>
      <c r="X77" s="23"/>
      <c r="Y77" s="23"/>
      <c r="Z77" s="23"/>
      <c r="AA77" s="26"/>
      <c r="AB77" s="26"/>
    </row>
    <row r="78" spans="1:28" x14ac:dyDescent="0.2">
      <c r="B78" s="13">
        <v>41830</v>
      </c>
      <c r="C78" s="33">
        <f>24*7*12</f>
        <v>2016</v>
      </c>
      <c r="D78" s="6" t="s">
        <v>75</v>
      </c>
      <c r="E78" s="43">
        <f>12.5*60</f>
        <v>750</v>
      </c>
      <c r="F78" t="s">
        <v>247</v>
      </c>
      <c r="G78" t="s">
        <v>247</v>
      </c>
      <c r="H78" t="s">
        <v>247</v>
      </c>
      <c r="I78" s="43" t="s">
        <v>247</v>
      </c>
      <c r="J78" s="15">
        <v>0</v>
      </c>
      <c r="K78">
        <v>0</v>
      </c>
      <c r="L78" t="s">
        <v>247</v>
      </c>
      <c r="M78" s="43">
        <v>0</v>
      </c>
      <c r="N78" s="15">
        <v>0</v>
      </c>
      <c r="O78" s="15">
        <v>1</v>
      </c>
      <c r="P78" s="15">
        <v>13</v>
      </c>
      <c r="Q78" s="43">
        <v>0</v>
      </c>
      <c r="R78" s="15">
        <v>4</v>
      </c>
      <c r="S78" s="15">
        <v>2</v>
      </c>
      <c r="T78" s="15">
        <v>8</v>
      </c>
      <c r="U78" s="15">
        <v>0</v>
      </c>
      <c r="V78" s="14">
        <f t="shared" ref="V78:V83" si="19">SUM(R78:U78)</f>
        <v>14</v>
      </c>
      <c r="W78" s="6">
        <v>5</v>
      </c>
      <c r="X78" s="15">
        <v>0</v>
      </c>
      <c r="Y78" s="15">
        <v>9</v>
      </c>
      <c r="Z78" s="15">
        <v>0</v>
      </c>
      <c r="AA78" s="43">
        <f t="shared" ref="AA78:AA83" si="20">SUM(W78:Z78)</f>
        <v>14</v>
      </c>
      <c r="AB78" s="15"/>
    </row>
    <row r="79" spans="1:28" x14ac:dyDescent="0.2">
      <c r="B79" s="13">
        <v>41830</v>
      </c>
      <c r="C79" s="33">
        <f t="shared" ref="C79:C83" si="21">24*7*12</f>
        <v>2016</v>
      </c>
      <c r="D79" s="6" t="s">
        <v>76</v>
      </c>
      <c r="E79" s="43">
        <f>20*60</f>
        <v>1200</v>
      </c>
      <c r="F79" s="33" t="s">
        <v>247</v>
      </c>
      <c r="G79" s="33" t="s">
        <v>247</v>
      </c>
      <c r="H79" s="33" t="s">
        <v>247</v>
      </c>
      <c r="I79" s="43" t="s">
        <v>247</v>
      </c>
      <c r="J79" s="15">
        <v>0</v>
      </c>
      <c r="K79" s="15">
        <v>0</v>
      </c>
      <c r="L79" s="15" t="s">
        <v>247</v>
      </c>
      <c r="M79" s="43">
        <v>0</v>
      </c>
      <c r="N79" s="15">
        <v>1</v>
      </c>
      <c r="O79" s="15">
        <v>2</v>
      </c>
      <c r="P79" s="15">
        <v>15</v>
      </c>
      <c r="Q79" s="43">
        <v>0</v>
      </c>
      <c r="R79" s="15">
        <v>8</v>
      </c>
      <c r="S79" s="15">
        <v>2</v>
      </c>
      <c r="T79" s="15">
        <v>8</v>
      </c>
      <c r="U79" s="15">
        <v>0</v>
      </c>
      <c r="V79" s="14">
        <f t="shared" si="19"/>
        <v>18</v>
      </c>
      <c r="W79" s="6">
        <v>8</v>
      </c>
      <c r="X79" s="15">
        <v>0</v>
      </c>
      <c r="Y79" s="15">
        <v>10</v>
      </c>
      <c r="Z79" s="15">
        <v>0</v>
      </c>
      <c r="AA79" s="43">
        <f t="shared" si="20"/>
        <v>18</v>
      </c>
      <c r="AB79" s="15"/>
    </row>
    <row r="80" spans="1:28" x14ac:dyDescent="0.2">
      <c r="B80" s="13">
        <v>41830</v>
      </c>
      <c r="C80" s="33">
        <f t="shared" si="21"/>
        <v>2016</v>
      </c>
      <c r="D80" s="6" t="s">
        <v>77</v>
      </c>
      <c r="E80" s="43">
        <f>15*60</f>
        <v>900</v>
      </c>
      <c r="F80" s="33" t="s">
        <v>247</v>
      </c>
      <c r="G80" s="33" t="s">
        <v>247</v>
      </c>
      <c r="H80" s="33" t="s">
        <v>247</v>
      </c>
      <c r="I80" s="43" t="s">
        <v>247</v>
      </c>
      <c r="J80" s="15">
        <v>0</v>
      </c>
      <c r="K80" s="15">
        <v>0</v>
      </c>
      <c r="L80" s="15" t="s">
        <v>247</v>
      </c>
      <c r="M80" s="43">
        <v>0</v>
      </c>
      <c r="N80" s="15">
        <v>1</v>
      </c>
      <c r="O80" s="15">
        <v>2</v>
      </c>
      <c r="P80" s="15">
        <v>13</v>
      </c>
      <c r="Q80" s="43">
        <v>0</v>
      </c>
      <c r="R80" s="15">
        <v>8</v>
      </c>
      <c r="S80" s="15">
        <v>0</v>
      </c>
      <c r="T80" s="15">
        <v>8</v>
      </c>
      <c r="U80" s="15">
        <v>0</v>
      </c>
      <c r="V80" s="14">
        <f t="shared" si="19"/>
        <v>16</v>
      </c>
      <c r="W80" s="6">
        <v>9</v>
      </c>
      <c r="X80" s="15">
        <v>1</v>
      </c>
      <c r="Y80" s="15">
        <v>6</v>
      </c>
      <c r="Z80" s="15">
        <v>0</v>
      </c>
      <c r="AA80" s="43">
        <f t="shared" si="20"/>
        <v>16</v>
      </c>
      <c r="AB80" s="15"/>
    </row>
    <row r="81" spans="1:53" x14ac:dyDescent="0.2">
      <c r="B81" s="13">
        <v>41830</v>
      </c>
      <c r="C81" s="33">
        <f t="shared" si="21"/>
        <v>2016</v>
      </c>
      <c r="D81" s="6" t="s">
        <v>78</v>
      </c>
      <c r="E81" s="43">
        <f>22*60</f>
        <v>1320</v>
      </c>
      <c r="F81" s="33" t="s">
        <v>247</v>
      </c>
      <c r="G81" s="33" t="s">
        <v>247</v>
      </c>
      <c r="H81" s="33" t="s">
        <v>247</v>
      </c>
      <c r="I81" s="43" t="s">
        <v>247</v>
      </c>
      <c r="J81" s="15">
        <v>0</v>
      </c>
      <c r="K81" s="15">
        <v>0</v>
      </c>
      <c r="L81" s="15" t="s">
        <v>247</v>
      </c>
      <c r="M81" s="43">
        <v>0</v>
      </c>
      <c r="N81" s="15">
        <v>0</v>
      </c>
      <c r="O81" s="15">
        <v>0</v>
      </c>
      <c r="P81" s="15" t="s">
        <v>247</v>
      </c>
      <c r="Q81" s="43">
        <v>0</v>
      </c>
      <c r="R81" s="15">
        <v>2</v>
      </c>
      <c r="S81" s="15">
        <v>3</v>
      </c>
      <c r="T81" s="15">
        <v>10</v>
      </c>
      <c r="U81" s="15">
        <v>0</v>
      </c>
      <c r="V81" s="14">
        <f t="shared" si="19"/>
        <v>15</v>
      </c>
      <c r="W81" s="6">
        <v>2</v>
      </c>
      <c r="X81" s="15">
        <v>3</v>
      </c>
      <c r="Y81" s="15">
        <v>10</v>
      </c>
      <c r="Z81" s="15">
        <v>0</v>
      </c>
      <c r="AA81" s="43">
        <f t="shared" si="20"/>
        <v>15</v>
      </c>
    </row>
    <row r="82" spans="1:53" x14ac:dyDescent="0.2">
      <c r="B82" s="13">
        <v>41830</v>
      </c>
      <c r="C82" s="33">
        <f t="shared" si="21"/>
        <v>2016</v>
      </c>
      <c r="D82" s="6" t="s">
        <v>79</v>
      </c>
      <c r="E82" s="43">
        <f>13*60</f>
        <v>780</v>
      </c>
      <c r="F82" s="33" t="s">
        <v>247</v>
      </c>
      <c r="G82" s="33" t="s">
        <v>247</v>
      </c>
      <c r="H82" s="33" t="s">
        <v>247</v>
      </c>
      <c r="I82" s="43" t="s">
        <v>247</v>
      </c>
      <c r="J82" s="15">
        <v>0</v>
      </c>
      <c r="K82" s="15">
        <v>0</v>
      </c>
      <c r="L82" s="15" t="s">
        <v>247</v>
      </c>
      <c r="M82" s="43">
        <v>0</v>
      </c>
      <c r="N82" s="15">
        <v>0</v>
      </c>
      <c r="O82" s="15">
        <v>1</v>
      </c>
      <c r="P82" s="15">
        <v>12</v>
      </c>
      <c r="Q82" s="43">
        <v>0</v>
      </c>
      <c r="R82" s="15">
        <v>1</v>
      </c>
      <c r="S82" s="15">
        <v>1</v>
      </c>
      <c r="T82" s="15">
        <v>13</v>
      </c>
      <c r="U82" s="15">
        <v>0</v>
      </c>
      <c r="V82" s="14">
        <f t="shared" si="19"/>
        <v>15</v>
      </c>
      <c r="W82" s="6">
        <v>1</v>
      </c>
      <c r="X82" s="15">
        <v>0</v>
      </c>
      <c r="Y82" s="15">
        <v>14</v>
      </c>
      <c r="Z82" s="15">
        <v>0</v>
      </c>
      <c r="AA82" s="43">
        <f t="shared" si="20"/>
        <v>15</v>
      </c>
    </row>
    <row r="83" spans="1:53" x14ac:dyDescent="0.2">
      <c r="B83" s="13">
        <v>41830</v>
      </c>
      <c r="C83" s="33">
        <f t="shared" si="21"/>
        <v>2016</v>
      </c>
      <c r="D83" s="6" t="s">
        <v>80</v>
      </c>
      <c r="E83" s="43">
        <f>18*60</f>
        <v>1080</v>
      </c>
      <c r="F83" s="33" t="s">
        <v>247</v>
      </c>
      <c r="G83" s="33" t="s">
        <v>247</v>
      </c>
      <c r="H83" s="33" t="s">
        <v>247</v>
      </c>
      <c r="I83" s="43" t="s">
        <v>247</v>
      </c>
      <c r="J83" s="27">
        <v>0</v>
      </c>
      <c r="K83" s="15">
        <v>1</v>
      </c>
      <c r="L83" s="15" t="s">
        <v>247</v>
      </c>
      <c r="M83" s="43">
        <v>0</v>
      </c>
      <c r="N83" s="27">
        <v>0</v>
      </c>
      <c r="O83" s="15">
        <v>0</v>
      </c>
      <c r="P83" s="15" t="s">
        <v>247</v>
      </c>
      <c r="Q83" s="43">
        <v>0</v>
      </c>
      <c r="R83" s="27">
        <v>1</v>
      </c>
      <c r="S83" s="15">
        <v>2</v>
      </c>
      <c r="T83" s="15">
        <v>14</v>
      </c>
      <c r="U83" s="15">
        <v>0</v>
      </c>
      <c r="V83" s="14">
        <f t="shared" si="19"/>
        <v>17</v>
      </c>
      <c r="W83" s="32">
        <v>2</v>
      </c>
      <c r="X83" s="15">
        <v>1</v>
      </c>
      <c r="Y83" s="15">
        <v>14</v>
      </c>
      <c r="Z83" s="15">
        <v>0</v>
      </c>
      <c r="AA83" s="43">
        <f t="shared" si="20"/>
        <v>17</v>
      </c>
      <c r="AF83" s="33"/>
      <c r="AG83" s="33"/>
      <c r="AH83" s="33"/>
      <c r="AI83" s="33"/>
      <c r="AJ83" s="33"/>
      <c r="AK83" s="33"/>
      <c r="AL83" s="33"/>
      <c r="AM83" s="33"/>
      <c r="AN83" s="33"/>
    </row>
    <row r="84" spans="1:53" x14ac:dyDescent="0.2">
      <c r="D84" s="16" t="s">
        <v>23</v>
      </c>
      <c r="E84" s="36">
        <f>AVERAGE(E78:E83)</f>
        <v>1005</v>
      </c>
      <c r="F84" s="18"/>
      <c r="G84" s="18"/>
      <c r="H84" s="18"/>
      <c r="I84" s="36"/>
      <c r="J84" s="18"/>
      <c r="K84" s="18"/>
      <c r="L84" s="18"/>
      <c r="M84" s="36"/>
      <c r="N84" s="18"/>
      <c r="O84" s="18"/>
      <c r="P84" s="18"/>
      <c r="Q84" s="36"/>
      <c r="R84" s="18"/>
      <c r="S84" s="18"/>
      <c r="T84" s="18"/>
      <c r="U84" s="18"/>
      <c r="V84" s="36">
        <f>AVERAGE(V78:V83)</f>
        <v>15.833333333333334</v>
      </c>
      <c r="W84" s="18"/>
      <c r="X84" s="18"/>
      <c r="Y84" s="18"/>
      <c r="Z84" s="18"/>
      <c r="AA84" s="36">
        <f>AVERAGE(AA78:AA83)</f>
        <v>15.833333333333334</v>
      </c>
      <c r="AF84" s="33"/>
      <c r="AG84" s="33"/>
      <c r="AH84" s="33"/>
      <c r="AI84" s="33"/>
      <c r="AJ84" s="33"/>
      <c r="AK84" s="33"/>
      <c r="AL84" s="33"/>
      <c r="AM84" s="33"/>
      <c r="AN84" s="33"/>
    </row>
    <row r="85" spans="1:53" x14ac:dyDescent="0.2">
      <c r="D85" s="22" t="s">
        <v>14</v>
      </c>
      <c r="E85" s="21"/>
      <c r="F85" s="20"/>
      <c r="G85" s="20"/>
      <c r="H85" s="20"/>
      <c r="I85" s="21"/>
      <c r="J85" s="20"/>
      <c r="K85" s="20"/>
      <c r="L85" s="20"/>
      <c r="M85" s="21"/>
      <c r="N85" s="20"/>
      <c r="O85" s="20"/>
      <c r="P85" s="20"/>
      <c r="Q85" s="21"/>
      <c r="R85" s="61"/>
      <c r="S85" s="20"/>
      <c r="T85" s="20"/>
      <c r="U85" s="20"/>
      <c r="V85" s="22">
        <f>SUM(V78:V83)</f>
        <v>95</v>
      </c>
      <c r="W85" s="20"/>
      <c r="X85" s="20"/>
      <c r="Y85" s="20"/>
      <c r="Z85" s="22"/>
      <c r="AA85" s="21">
        <f>SUM(AA78:AA83)</f>
        <v>95</v>
      </c>
      <c r="AF85" s="33"/>
      <c r="AG85" s="33"/>
      <c r="AH85" s="33"/>
      <c r="AI85" s="33"/>
      <c r="AJ85" s="33"/>
      <c r="AK85" s="33"/>
      <c r="AL85" s="33"/>
      <c r="AM85" s="33"/>
      <c r="AN85" s="33"/>
    </row>
    <row r="86" spans="1:53" x14ac:dyDescent="0.2">
      <c r="A86" s="23"/>
      <c r="B86" s="23"/>
      <c r="C86" s="23"/>
      <c r="D86" s="24" t="s">
        <v>81</v>
      </c>
      <c r="E86" s="23"/>
      <c r="F86" s="25"/>
      <c r="G86" s="23"/>
      <c r="H86" s="23"/>
      <c r="I86" s="26"/>
      <c r="J86" s="23"/>
      <c r="K86" s="23"/>
      <c r="L86" s="23"/>
      <c r="M86" s="26"/>
      <c r="N86" s="23"/>
      <c r="O86" s="23"/>
      <c r="P86" s="23"/>
      <c r="Q86" s="26"/>
      <c r="R86" s="23"/>
      <c r="S86" s="23"/>
      <c r="T86" s="23"/>
      <c r="U86" s="23"/>
      <c r="V86" s="23"/>
      <c r="W86" s="25"/>
      <c r="X86" s="23"/>
      <c r="Y86" s="23"/>
      <c r="Z86" s="23"/>
      <c r="AA86" s="26"/>
      <c r="AB86" s="26"/>
      <c r="AC86" s="33"/>
      <c r="AD86" s="33"/>
      <c r="AE86" s="33"/>
      <c r="AF86" s="33"/>
      <c r="AG86" s="33"/>
      <c r="AH86" s="33"/>
      <c r="AI86" s="33"/>
      <c r="AJ86" s="33"/>
      <c r="AK86" s="33"/>
      <c r="AL86" s="33"/>
      <c r="AM86" s="33"/>
      <c r="AN86" s="33"/>
    </row>
    <row r="87" spans="1:53" x14ac:dyDescent="0.2">
      <c r="A87" s="38" t="s">
        <v>82</v>
      </c>
      <c r="B87" s="39">
        <v>42052</v>
      </c>
      <c r="C87" s="33">
        <f>24*365*3/4</f>
        <v>6570</v>
      </c>
      <c r="D87" s="40" t="s">
        <v>83</v>
      </c>
      <c r="E87" s="50"/>
      <c r="F87" s="48" t="s">
        <v>247</v>
      </c>
      <c r="G87" s="48" t="s">
        <v>247</v>
      </c>
      <c r="H87" s="48" t="s">
        <v>247</v>
      </c>
      <c r="I87" s="70" t="s">
        <v>247</v>
      </c>
      <c r="J87" s="76"/>
      <c r="K87" s="38"/>
      <c r="L87" s="38"/>
      <c r="M87" s="50"/>
      <c r="N87" s="76"/>
      <c r="O87" s="41"/>
      <c r="P87" s="41"/>
      <c r="Q87" s="78"/>
      <c r="R87" s="76"/>
      <c r="S87" s="41"/>
      <c r="T87" s="41"/>
      <c r="U87" s="41"/>
      <c r="V87" s="38">
        <f t="shared" ref="V87:V92" si="22">SUM(R87:U87)</f>
        <v>0</v>
      </c>
      <c r="W87" s="40"/>
      <c r="X87" s="41"/>
      <c r="Y87" s="41"/>
      <c r="Z87" s="41"/>
      <c r="AA87" s="50">
        <f t="shared" ref="AA87:AA92" si="23">SUM(W87:Z87)</f>
        <v>0</v>
      </c>
      <c r="AB87" s="15"/>
      <c r="AC87" s="33"/>
      <c r="AD87" s="33"/>
      <c r="AE87" s="33"/>
      <c r="AF87" s="33"/>
      <c r="AG87" s="33"/>
      <c r="AH87" s="33"/>
      <c r="AI87" s="33"/>
      <c r="AJ87" s="33"/>
      <c r="AK87" s="33"/>
      <c r="AL87" s="33"/>
      <c r="AM87" s="33"/>
      <c r="AN87" s="33"/>
    </row>
    <row r="88" spans="1:53" x14ac:dyDescent="0.2">
      <c r="B88" s="13">
        <v>42052</v>
      </c>
      <c r="C88" s="33">
        <f>24*365*3/4</f>
        <v>6570</v>
      </c>
      <c r="D88" s="6" t="s">
        <v>84</v>
      </c>
      <c r="E88" s="43">
        <f>24*60</f>
        <v>1440</v>
      </c>
      <c r="F88" s="33" t="s">
        <v>247</v>
      </c>
      <c r="G88" s="33" t="s">
        <v>247</v>
      </c>
      <c r="H88" s="33" t="s">
        <v>247</v>
      </c>
      <c r="I88" s="43" t="s">
        <v>247</v>
      </c>
      <c r="J88" s="15">
        <v>0</v>
      </c>
      <c r="K88" s="15">
        <v>2</v>
      </c>
      <c r="L88" s="15">
        <v>14</v>
      </c>
      <c r="M88" s="43">
        <v>0</v>
      </c>
      <c r="N88" s="15">
        <v>0</v>
      </c>
      <c r="O88" s="15">
        <v>3</v>
      </c>
      <c r="P88" s="15">
        <v>13</v>
      </c>
      <c r="Q88" s="43">
        <v>0</v>
      </c>
      <c r="R88" s="15">
        <v>0</v>
      </c>
      <c r="S88" s="15">
        <v>5</v>
      </c>
      <c r="T88" s="15">
        <v>14</v>
      </c>
      <c r="U88" s="15">
        <v>0</v>
      </c>
      <c r="V88" s="14">
        <f t="shared" si="22"/>
        <v>19</v>
      </c>
      <c r="W88" s="6">
        <v>0</v>
      </c>
      <c r="X88" s="15">
        <v>6</v>
      </c>
      <c r="Y88" s="15">
        <v>12</v>
      </c>
      <c r="Z88" s="15">
        <v>0</v>
      </c>
      <c r="AA88" s="43">
        <f t="shared" si="23"/>
        <v>18</v>
      </c>
      <c r="AB88" s="15"/>
      <c r="AC88" s="33"/>
      <c r="AD88" s="33"/>
      <c r="AE88" s="33"/>
      <c r="AF88" s="33"/>
      <c r="AG88" s="33"/>
      <c r="AH88" s="33"/>
      <c r="AI88" s="33"/>
      <c r="AJ88" s="33"/>
      <c r="AK88" s="33"/>
      <c r="AL88" s="33"/>
      <c r="AM88" s="33"/>
      <c r="AN88" s="33"/>
    </row>
    <row r="89" spans="1:53" x14ac:dyDescent="0.2">
      <c r="A89" t="s">
        <v>85</v>
      </c>
      <c r="B89" s="52">
        <v>42052</v>
      </c>
      <c r="C89" s="33">
        <f t="shared" ref="C89:C92" si="24">24*365*3/4</f>
        <v>6570</v>
      </c>
      <c r="D89" s="6" t="s">
        <v>86</v>
      </c>
      <c r="E89" s="43">
        <f>25.5*60</f>
        <v>1530</v>
      </c>
      <c r="F89" s="33" t="s">
        <v>247</v>
      </c>
      <c r="G89" s="33" t="s">
        <v>247</v>
      </c>
      <c r="H89" s="33" t="s">
        <v>247</v>
      </c>
      <c r="I89" s="43" t="s">
        <v>247</v>
      </c>
      <c r="J89" s="15">
        <v>0</v>
      </c>
      <c r="K89" s="15">
        <v>2</v>
      </c>
      <c r="L89" s="15">
        <v>15</v>
      </c>
      <c r="M89" s="43">
        <v>0</v>
      </c>
      <c r="N89" s="15">
        <v>0</v>
      </c>
      <c r="O89" s="15">
        <v>3</v>
      </c>
      <c r="P89" s="15">
        <v>14</v>
      </c>
      <c r="Q89" s="43">
        <v>0</v>
      </c>
      <c r="R89" s="15">
        <v>0</v>
      </c>
      <c r="S89" s="15">
        <v>5</v>
      </c>
      <c r="T89" s="15">
        <v>11</v>
      </c>
      <c r="U89" s="15">
        <v>0</v>
      </c>
      <c r="V89" s="14">
        <f t="shared" si="22"/>
        <v>16</v>
      </c>
      <c r="W89" s="6">
        <v>0</v>
      </c>
      <c r="X89" s="15">
        <v>3</v>
      </c>
      <c r="Y89" s="15">
        <v>9</v>
      </c>
      <c r="Z89" s="15">
        <v>0</v>
      </c>
      <c r="AA89" s="43">
        <f t="shared" si="23"/>
        <v>12</v>
      </c>
      <c r="AB89" s="15"/>
      <c r="AC89" s="33"/>
      <c r="AD89" s="33"/>
      <c r="AE89" s="33"/>
      <c r="AF89" s="33"/>
      <c r="AG89" s="33"/>
      <c r="AH89" s="33"/>
      <c r="AI89" s="33"/>
      <c r="AJ89" s="33"/>
      <c r="AK89" s="33"/>
      <c r="AL89" s="33"/>
      <c r="AM89" s="33"/>
      <c r="AN89" s="33"/>
    </row>
    <row r="90" spans="1:53" x14ac:dyDescent="0.2">
      <c r="A90" t="s">
        <v>268</v>
      </c>
      <c r="B90" s="52">
        <v>42052</v>
      </c>
      <c r="C90" s="33">
        <f t="shared" si="24"/>
        <v>6570</v>
      </c>
      <c r="D90" s="6" t="s">
        <v>87</v>
      </c>
      <c r="E90" s="43">
        <f>29*60</f>
        <v>1740</v>
      </c>
      <c r="F90" s="33" t="s">
        <v>247</v>
      </c>
      <c r="G90" s="33" t="s">
        <v>247</v>
      </c>
      <c r="H90" s="33" t="s">
        <v>247</v>
      </c>
      <c r="I90" s="43" t="s">
        <v>247</v>
      </c>
      <c r="J90" s="15">
        <v>0</v>
      </c>
      <c r="K90" s="15">
        <v>0</v>
      </c>
      <c r="L90" s="15">
        <v>18</v>
      </c>
      <c r="M90" s="43">
        <v>0</v>
      </c>
      <c r="N90" s="15">
        <v>0</v>
      </c>
      <c r="O90" s="15">
        <v>1</v>
      </c>
      <c r="P90" s="15">
        <v>11</v>
      </c>
      <c r="Q90" s="43">
        <v>0</v>
      </c>
      <c r="R90" s="15">
        <v>0</v>
      </c>
      <c r="S90" s="15">
        <v>3</v>
      </c>
      <c r="T90" s="15">
        <v>10</v>
      </c>
      <c r="U90" s="15">
        <v>0</v>
      </c>
      <c r="V90" s="14">
        <f t="shared" si="22"/>
        <v>13</v>
      </c>
      <c r="W90" s="6">
        <v>0</v>
      </c>
      <c r="X90" s="15">
        <v>4</v>
      </c>
      <c r="Y90" s="15">
        <v>8</v>
      </c>
      <c r="Z90" s="15">
        <v>0</v>
      </c>
      <c r="AA90" s="43">
        <f t="shared" si="23"/>
        <v>12</v>
      </c>
      <c r="AC90" s="33"/>
      <c r="AD90" s="33"/>
      <c r="AE90" s="33"/>
      <c r="AF90" s="33"/>
      <c r="AG90" s="33"/>
      <c r="AH90" s="33"/>
      <c r="AI90" s="33"/>
      <c r="AJ90" s="33"/>
      <c r="AK90" s="33"/>
      <c r="AL90" s="33"/>
      <c r="AM90" s="33"/>
      <c r="AN90" s="33"/>
    </row>
    <row r="91" spans="1:53" x14ac:dyDescent="0.2">
      <c r="B91" s="52">
        <v>42052</v>
      </c>
      <c r="C91" s="33">
        <f t="shared" si="24"/>
        <v>6570</v>
      </c>
      <c r="D91" s="6" t="s">
        <v>88</v>
      </c>
      <c r="E91" s="43">
        <f>23*60</f>
        <v>1380</v>
      </c>
      <c r="F91" s="33" t="s">
        <v>247</v>
      </c>
      <c r="G91" s="33" t="s">
        <v>247</v>
      </c>
      <c r="H91" s="33" t="s">
        <v>247</v>
      </c>
      <c r="I91" s="43" t="s">
        <v>247</v>
      </c>
      <c r="J91" s="15">
        <v>0</v>
      </c>
      <c r="K91" s="15">
        <v>2</v>
      </c>
      <c r="L91" s="15">
        <v>16</v>
      </c>
      <c r="M91" s="43">
        <v>0</v>
      </c>
      <c r="N91" s="15">
        <v>0</v>
      </c>
      <c r="O91" s="15">
        <v>3</v>
      </c>
      <c r="P91" s="15">
        <v>14</v>
      </c>
      <c r="Q91" s="43">
        <v>0</v>
      </c>
      <c r="R91" s="15">
        <v>0</v>
      </c>
      <c r="S91" s="15">
        <v>3</v>
      </c>
      <c r="T91" s="15">
        <v>15</v>
      </c>
      <c r="U91" s="15">
        <v>0</v>
      </c>
      <c r="V91" s="14">
        <f t="shared" si="22"/>
        <v>18</v>
      </c>
      <c r="W91" s="6">
        <v>0</v>
      </c>
      <c r="X91" s="15">
        <v>6</v>
      </c>
      <c r="Y91" s="15">
        <v>11</v>
      </c>
      <c r="Z91" s="15">
        <v>0</v>
      </c>
      <c r="AA91" s="43">
        <f t="shared" si="23"/>
        <v>17</v>
      </c>
      <c r="AC91" s="33"/>
      <c r="AD91" s="33"/>
      <c r="AE91" s="33"/>
      <c r="AF91" s="33"/>
      <c r="AG91" s="33"/>
      <c r="AH91" s="33"/>
      <c r="AI91" s="33"/>
      <c r="AJ91" s="33"/>
      <c r="AK91" s="33"/>
      <c r="AL91" s="33"/>
      <c r="AM91" s="33"/>
      <c r="AN91" s="33"/>
    </row>
    <row r="92" spans="1:53" x14ac:dyDescent="0.2">
      <c r="B92" s="13">
        <v>42052</v>
      </c>
      <c r="C92" s="33">
        <f t="shared" si="24"/>
        <v>6570</v>
      </c>
      <c r="D92" s="6" t="s">
        <v>89</v>
      </c>
      <c r="E92" s="43">
        <f>18.5*60</f>
        <v>1110</v>
      </c>
      <c r="F92" s="33" t="s">
        <v>247</v>
      </c>
      <c r="G92" s="33" t="s">
        <v>247</v>
      </c>
      <c r="H92" s="33" t="s">
        <v>247</v>
      </c>
      <c r="I92" s="43" t="s">
        <v>247</v>
      </c>
      <c r="J92" s="27">
        <v>0</v>
      </c>
      <c r="K92" s="15">
        <v>0</v>
      </c>
      <c r="L92" s="15">
        <v>16</v>
      </c>
      <c r="M92" s="43">
        <v>0</v>
      </c>
      <c r="N92" s="27">
        <v>0</v>
      </c>
      <c r="O92" s="15">
        <v>1</v>
      </c>
      <c r="P92" s="15">
        <v>15</v>
      </c>
      <c r="Q92" s="43">
        <v>0</v>
      </c>
      <c r="R92" s="27">
        <v>0</v>
      </c>
      <c r="S92" s="15">
        <v>3</v>
      </c>
      <c r="T92" s="15">
        <v>15</v>
      </c>
      <c r="U92" s="15">
        <v>0</v>
      </c>
      <c r="V92" s="14">
        <f t="shared" si="22"/>
        <v>18</v>
      </c>
      <c r="W92" s="32">
        <v>0</v>
      </c>
      <c r="X92" s="15">
        <v>5</v>
      </c>
      <c r="Y92" s="15">
        <v>12</v>
      </c>
      <c r="Z92" s="15">
        <v>0</v>
      </c>
      <c r="AA92" s="43">
        <f t="shared" si="23"/>
        <v>17</v>
      </c>
      <c r="AC92" s="33"/>
      <c r="AD92" s="33"/>
      <c r="AE92" s="33"/>
    </row>
    <row r="93" spans="1:53" x14ac:dyDescent="0.2">
      <c r="D93" s="16" t="s">
        <v>23</v>
      </c>
      <c r="E93" s="36">
        <f>AVERAGE(E87:E92)</f>
        <v>1440</v>
      </c>
      <c r="F93" s="18"/>
      <c r="G93" s="18"/>
      <c r="H93" s="18"/>
      <c r="I93" s="36"/>
      <c r="J93" s="18"/>
      <c r="K93" s="18"/>
      <c r="L93" s="18"/>
      <c r="M93" s="36"/>
      <c r="N93" s="18"/>
      <c r="O93" s="18"/>
      <c r="P93" s="18"/>
      <c r="Q93" s="36"/>
      <c r="R93" s="18"/>
      <c r="S93" s="18"/>
      <c r="T93" s="18"/>
      <c r="U93" s="18"/>
      <c r="V93" s="36">
        <f>AVERAGE(V88:V92)</f>
        <v>16.8</v>
      </c>
      <c r="W93" s="18"/>
      <c r="X93" s="18"/>
      <c r="Y93" s="18"/>
      <c r="Z93" s="18"/>
      <c r="AA93" s="36">
        <f>AVERAGE(AA88:AA92)</f>
        <v>15.2</v>
      </c>
      <c r="AC93" s="33"/>
      <c r="AD93" s="33"/>
      <c r="AE93" s="33"/>
    </row>
    <row r="94" spans="1:53" x14ac:dyDescent="0.2">
      <c r="D94" s="22" t="s">
        <v>14</v>
      </c>
      <c r="E94" s="21"/>
      <c r="F94" s="20"/>
      <c r="G94" s="20"/>
      <c r="H94" s="20"/>
      <c r="I94" s="21"/>
      <c r="J94" s="20"/>
      <c r="K94" s="20"/>
      <c r="L94" s="20"/>
      <c r="M94" s="21"/>
      <c r="N94" s="20"/>
      <c r="O94" s="20"/>
      <c r="P94" s="20"/>
      <c r="Q94" s="21"/>
      <c r="R94" s="61"/>
      <c r="S94" s="20"/>
      <c r="T94" s="20"/>
      <c r="U94" s="20"/>
      <c r="V94" s="22">
        <f>SUM(V87:V92)</f>
        <v>84</v>
      </c>
      <c r="W94" s="20"/>
      <c r="X94" s="20"/>
      <c r="Y94" s="20"/>
      <c r="Z94" s="22"/>
      <c r="AA94" s="21">
        <f>SUM(AA87:AA92)</f>
        <v>76</v>
      </c>
      <c r="AC94" s="33"/>
      <c r="AD94" s="33"/>
      <c r="AE94" s="33"/>
    </row>
    <row r="95" spans="1:53" x14ac:dyDescent="0.2">
      <c r="A95" s="23"/>
      <c r="B95" s="23"/>
      <c r="C95" s="23"/>
      <c r="D95" s="24" t="s">
        <v>141</v>
      </c>
      <c r="E95" s="23"/>
      <c r="F95" s="25"/>
      <c r="G95" s="23"/>
      <c r="H95" s="23"/>
      <c r="I95" s="26"/>
      <c r="J95" s="23"/>
      <c r="K95" s="23"/>
      <c r="L95" s="23"/>
      <c r="M95" s="26"/>
      <c r="N95" s="23"/>
      <c r="O95" s="23"/>
      <c r="P95" s="23"/>
      <c r="Q95" s="26"/>
      <c r="R95" s="23"/>
      <c r="S95" s="23"/>
      <c r="T95" s="23"/>
      <c r="U95" s="23"/>
      <c r="V95" s="23"/>
      <c r="W95" s="25"/>
      <c r="X95" s="23"/>
      <c r="Y95" s="23"/>
      <c r="Z95" s="23"/>
      <c r="AA95" s="26"/>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row>
    <row r="96" spans="1:53" x14ac:dyDescent="0.2">
      <c r="A96" s="51"/>
      <c r="B96" s="52">
        <v>42157</v>
      </c>
      <c r="C96" s="33">
        <f>24*365</f>
        <v>8760</v>
      </c>
      <c r="D96" s="44" t="s">
        <v>142</v>
      </c>
      <c r="E96" s="53">
        <f>40*60</f>
        <v>2400</v>
      </c>
      <c r="F96" s="51">
        <v>0</v>
      </c>
      <c r="G96" s="51">
        <v>1</v>
      </c>
      <c r="H96" s="51">
        <v>15</v>
      </c>
      <c r="I96" s="53">
        <v>0</v>
      </c>
      <c r="J96" s="45">
        <v>0</v>
      </c>
      <c r="K96" s="45">
        <v>3</v>
      </c>
      <c r="L96" s="45">
        <v>15</v>
      </c>
      <c r="M96" s="53">
        <v>0</v>
      </c>
      <c r="N96" s="45">
        <v>0</v>
      </c>
      <c r="O96" s="45">
        <v>4</v>
      </c>
      <c r="P96" s="45">
        <v>14</v>
      </c>
      <c r="Q96" s="53">
        <v>0</v>
      </c>
      <c r="R96" s="45">
        <v>0</v>
      </c>
      <c r="S96" s="45">
        <v>2</v>
      </c>
      <c r="T96" s="45">
        <v>13</v>
      </c>
      <c r="U96" s="45">
        <v>0</v>
      </c>
      <c r="V96" s="51">
        <f t="shared" ref="V96:V101" si="25">SUM(R96:U96)</f>
        <v>15</v>
      </c>
      <c r="W96" s="44">
        <v>0</v>
      </c>
      <c r="X96" s="45">
        <v>2</v>
      </c>
      <c r="Y96" s="45">
        <v>16</v>
      </c>
      <c r="Z96" s="45">
        <v>0</v>
      </c>
      <c r="AA96" s="53">
        <f t="shared" ref="AA96:AA101" si="26">SUM(W96:Z96)</f>
        <v>18</v>
      </c>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row>
    <row r="97" spans="1:60" x14ac:dyDescent="0.2">
      <c r="A97" s="54"/>
      <c r="B97" s="52">
        <v>42157</v>
      </c>
      <c r="C97" s="33">
        <f t="shared" ref="C97:C101" si="27">24*365</f>
        <v>8760</v>
      </c>
      <c r="D97" s="44" t="s">
        <v>143</v>
      </c>
      <c r="E97" s="54">
        <f>35*60</f>
        <v>2100</v>
      </c>
      <c r="F97" s="55">
        <v>0</v>
      </c>
      <c r="G97" s="54">
        <v>0</v>
      </c>
      <c r="H97" s="54">
        <v>18</v>
      </c>
      <c r="I97" s="56">
        <v>0</v>
      </c>
      <c r="J97" s="46">
        <v>0</v>
      </c>
      <c r="K97" s="46">
        <v>3</v>
      </c>
      <c r="L97" s="46">
        <v>16</v>
      </c>
      <c r="M97" s="56">
        <v>0</v>
      </c>
      <c r="N97" s="46">
        <v>0</v>
      </c>
      <c r="O97" s="46">
        <v>5</v>
      </c>
      <c r="P97" s="46">
        <v>15</v>
      </c>
      <c r="Q97" s="56">
        <v>0</v>
      </c>
      <c r="R97" s="46">
        <v>0</v>
      </c>
      <c r="S97" s="46">
        <v>3</v>
      </c>
      <c r="T97" s="46">
        <v>17</v>
      </c>
      <c r="U97" s="46">
        <v>0</v>
      </c>
      <c r="V97" s="54">
        <f t="shared" si="25"/>
        <v>20</v>
      </c>
      <c r="W97" s="55">
        <v>0</v>
      </c>
      <c r="X97" s="46">
        <v>2</v>
      </c>
      <c r="Y97" s="46">
        <v>18</v>
      </c>
      <c r="Z97" s="46">
        <v>0</v>
      </c>
      <c r="AA97" s="56">
        <f t="shared" si="26"/>
        <v>20</v>
      </c>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row>
    <row r="98" spans="1:60" x14ac:dyDescent="0.2">
      <c r="A98" s="54"/>
      <c r="B98" s="52">
        <v>42157</v>
      </c>
      <c r="C98" s="33">
        <f t="shared" si="27"/>
        <v>8760</v>
      </c>
      <c r="D98" s="44" t="s">
        <v>144</v>
      </c>
      <c r="E98" s="54"/>
      <c r="F98" s="55">
        <v>0</v>
      </c>
      <c r="G98" s="54">
        <v>1</v>
      </c>
      <c r="H98" s="54">
        <v>17</v>
      </c>
      <c r="I98" s="56">
        <v>0</v>
      </c>
      <c r="J98" s="46">
        <v>0</v>
      </c>
      <c r="K98" s="46">
        <v>4</v>
      </c>
      <c r="L98" s="46">
        <v>15</v>
      </c>
      <c r="M98" s="56">
        <v>0</v>
      </c>
      <c r="N98" s="46">
        <v>0</v>
      </c>
      <c r="O98" s="46">
        <v>2</v>
      </c>
      <c r="P98" s="46">
        <v>17</v>
      </c>
      <c r="Q98" s="56">
        <v>0</v>
      </c>
      <c r="R98" s="46">
        <v>0</v>
      </c>
      <c r="S98" s="46">
        <v>1</v>
      </c>
      <c r="T98" s="46">
        <v>19</v>
      </c>
      <c r="U98" s="46">
        <v>0</v>
      </c>
      <c r="V98" s="54">
        <f t="shared" si="25"/>
        <v>20</v>
      </c>
      <c r="W98" s="55">
        <v>0</v>
      </c>
      <c r="X98" s="46">
        <v>1</v>
      </c>
      <c r="Y98" s="46">
        <v>20</v>
      </c>
      <c r="Z98" s="46">
        <v>0</v>
      </c>
      <c r="AA98" s="56">
        <f t="shared" si="26"/>
        <v>21</v>
      </c>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row>
    <row r="99" spans="1:60" x14ac:dyDescent="0.2">
      <c r="A99" s="52"/>
      <c r="B99" s="52">
        <v>42157</v>
      </c>
      <c r="C99" s="33">
        <f t="shared" si="27"/>
        <v>8760</v>
      </c>
      <c r="D99" s="44" t="s">
        <v>145</v>
      </c>
      <c r="E99" s="54">
        <f>19*60</f>
        <v>1140</v>
      </c>
      <c r="F99" s="55">
        <v>0</v>
      </c>
      <c r="G99" s="54">
        <v>0</v>
      </c>
      <c r="H99" s="54">
        <v>17</v>
      </c>
      <c r="I99" s="56">
        <v>0</v>
      </c>
      <c r="J99" s="46">
        <v>0</v>
      </c>
      <c r="K99" s="46">
        <v>1</v>
      </c>
      <c r="L99" s="46">
        <v>16</v>
      </c>
      <c r="M99" s="56">
        <v>0</v>
      </c>
      <c r="N99" s="46">
        <v>0</v>
      </c>
      <c r="O99" s="46">
        <v>5</v>
      </c>
      <c r="P99" s="46">
        <v>11</v>
      </c>
      <c r="Q99" s="56">
        <v>0</v>
      </c>
      <c r="R99" s="46">
        <v>0</v>
      </c>
      <c r="S99" s="46">
        <v>2</v>
      </c>
      <c r="T99" s="46">
        <v>14</v>
      </c>
      <c r="U99" s="46">
        <v>0</v>
      </c>
      <c r="V99" s="54">
        <f t="shared" si="25"/>
        <v>16</v>
      </c>
      <c r="W99" s="55">
        <v>0</v>
      </c>
      <c r="X99" s="46">
        <v>3</v>
      </c>
      <c r="Y99" s="46">
        <v>13</v>
      </c>
      <c r="Z99" s="46">
        <v>0</v>
      </c>
      <c r="AA99" s="56">
        <f t="shared" si="26"/>
        <v>16</v>
      </c>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row>
    <row r="100" spans="1:60" x14ac:dyDescent="0.2">
      <c r="A100" s="54"/>
      <c r="B100" s="52">
        <v>42157</v>
      </c>
      <c r="C100" s="33">
        <f t="shared" si="27"/>
        <v>8760</v>
      </c>
      <c r="D100" s="44" t="s">
        <v>146</v>
      </c>
      <c r="E100" s="54">
        <f>33*60</f>
        <v>1980</v>
      </c>
      <c r="F100" s="55">
        <v>0</v>
      </c>
      <c r="G100" s="54">
        <v>0</v>
      </c>
      <c r="H100" s="54">
        <v>18</v>
      </c>
      <c r="I100" s="56">
        <v>0</v>
      </c>
      <c r="J100" s="46">
        <v>0</v>
      </c>
      <c r="K100" s="46">
        <v>1</v>
      </c>
      <c r="L100" s="46">
        <v>19</v>
      </c>
      <c r="M100" s="56">
        <v>0</v>
      </c>
      <c r="N100" s="46">
        <v>0</v>
      </c>
      <c r="O100" s="46">
        <v>4</v>
      </c>
      <c r="P100" s="46">
        <v>16</v>
      </c>
      <c r="Q100" s="56">
        <v>0</v>
      </c>
      <c r="R100" s="46">
        <v>0</v>
      </c>
      <c r="S100" s="46">
        <v>1</v>
      </c>
      <c r="T100" s="46">
        <v>17</v>
      </c>
      <c r="U100" s="46">
        <v>0</v>
      </c>
      <c r="V100" s="54">
        <f t="shared" si="25"/>
        <v>18</v>
      </c>
      <c r="W100" s="55">
        <v>0</v>
      </c>
      <c r="X100" s="46">
        <v>1</v>
      </c>
      <c r="Y100" s="46">
        <v>16</v>
      </c>
      <c r="Z100" s="46">
        <v>0</v>
      </c>
      <c r="AA100" s="56">
        <f t="shared" si="26"/>
        <v>17</v>
      </c>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row>
    <row r="101" spans="1:60" x14ac:dyDescent="0.2">
      <c r="A101" s="54"/>
      <c r="B101" s="59">
        <v>42157</v>
      </c>
      <c r="C101" s="33">
        <f t="shared" si="27"/>
        <v>8760</v>
      </c>
      <c r="D101" s="45" t="s">
        <v>147</v>
      </c>
      <c r="E101" s="56">
        <f>22.5*60</f>
        <v>1350</v>
      </c>
      <c r="F101" s="44">
        <v>0</v>
      </c>
      <c r="G101" s="54">
        <v>1</v>
      </c>
      <c r="H101" s="54">
        <v>19</v>
      </c>
      <c r="I101" s="56">
        <v>0</v>
      </c>
      <c r="J101" s="45">
        <v>0</v>
      </c>
      <c r="K101" s="45">
        <v>2</v>
      </c>
      <c r="L101" s="45">
        <v>18</v>
      </c>
      <c r="M101" s="53">
        <v>0</v>
      </c>
      <c r="N101" s="45">
        <v>0</v>
      </c>
      <c r="O101" s="45">
        <v>1</v>
      </c>
      <c r="P101" s="45">
        <v>20</v>
      </c>
      <c r="Q101" s="53">
        <v>0</v>
      </c>
      <c r="R101" s="45">
        <v>0</v>
      </c>
      <c r="S101" s="45">
        <v>3</v>
      </c>
      <c r="T101" s="45">
        <v>19</v>
      </c>
      <c r="U101" s="45">
        <v>0</v>
      </c>
      <c r="V101" s="54">
        <f t="shared" si="25"/>
        <v>22</v>
      </c>
      <c r="W101" s="44">
        <v>0</v>
      </c>
      <c r="X101" s="45">
        <v>3</v>
      </c>
      <c r="Y101" s="45">
        <v>21</v>
      </c>
      <c r="Z101" s="45">
        <v>0</v>
      </c>
      <c r="AA101" s="56">
        <f t="shared" si="26"/>
        <v>24</v>
      </c>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row>
    <row r="102" spans="1:60" x14ac:dyDescent="0.2">
      <c r="A102" s="33"/>
      <c r="B102" s="43"/>
      <c r="C102" s="15"/>
      <c r="D102" s="57" t="s">
        <v>23</v>
      </c>
      <c r="E102" s="36">
        <f>AVERAGE(E96:E101)</f>
        <v>1794</v>
      </c>
      <c r="F102" s="18"/>
      <c r="G102" s="18"/>
      <c r="H102" s="18"/>
      <c r="I102" s="36"/>
      <c r="J102" s="18"/>
      <c r="K102" s="18"/>
      <c r="L102" s="18"/>
      <c r="M102" s="36"/>
      <c r="N102" s="18"/>
      <c r="O102" s="18"/>
      <c r="P102" s="18"/>
      <c r="Q102" s="36"/>
      <c r="R102" s="18"/>
      <c r="S102" s="18"/>
      <c r="T102" s="18"/>
      <c r="U102" s="18"/>
      <c r="V102" s="36">
        <f>AVERAGE(V96:V101)</f>
        <v>18.5</v>
      </c>
      <c r="W102" s="18"/>
      <c r="X102" s="18"/>
      <c r="Y102" s="18"/>
      <c r="Z102" s="18"/>
      <c r="AA102" s="36">
        <f>AVERAGE(AA96:AA101)</f>
        <v>19.333333333333332</v>
      </c>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row>
    <row r="103" spans="1:60" x14ac:dyDescent="0.2">
      <c r="A103" s="33"/>
      <c r="B103" s="43"/>
      <c r="C103" s="15"/>
      <c r="D103" s="22" t="s">
        <v>14</v>
      </c>
      <c r="E103" s="21"/>
      <c r="F103" s="20"/>
      <c r="G103" s="20"/>
      <c r="H103" s="20"/>
      <c r="I103" s="21"/>
      <c r="J103" s="20"/>
      <c r="K103" s="20"/>
      <c r="L103" s="20"/>
      <c r="M103" s="21"/>
      <c r="N103" s="20"/>
      <c r="O103" s="20"/>
      <c r="P103" s="20"/>
      <c r="Q103" s="21"/>
      <c r="R103" s="61"/>
      <c r="S103" s="20"/>
      <c r="T103" s="20"/>
      <c r="U103" s="20"/>
      <c r="V103" s="22">
        <f>SUM(V96:V101)</f>
        <v>111</v>
      </c>
      <c r="W103" s="20"/>
      <c r="X103" s="20"/>
      <c r="Y103" s="20"/>
      <c r="Z103" s="22"/>
      <c r="AA103" s="21">
        <f>SUM(AA96:AA101)</f>
        <v>116</v>
      </c>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row>
    <row r="104" spans="1:60" x14ac:dyDescent="0.2">
      <c r="B104" s="43"/>
      <c r="C104" s="15"/>
      <c r="F104" s="5" t="s">
        <v>90</v>
      </c>
      <c r="G104" s="2"/>
      <c r="H104" s="2"/>
      <c r="I104" s="2"/>
      <c r="J104" s="1"/>
      <c r="K104" s="5" t="s">
        <v>91</v>
      </c>
      <c r="L104" s="2"/>
      <c r="M104" s="2"/>
      <c r="N104" s="2"/>
      <c r="O104" s="2"/>
      <c r="P104" s="5" t="s">
        <v>92</v>
      </c>
      <c r="Q104" s="2"/>
      <c r="R104" s="2"/>
      <c r="S104" s="2"/>
      <c r="T104" s="2"/>
      <c r="U104" s="5" t="s">
        <v>93</v>
      </c>
      <c r="V104" s="2"/>
      <c r="W104" s="2"/>
      <c r="X104" s="2"/>
      <c r="Y104" s="2"/>
      <c r="Z104" s="5" t="s">
        <v>94</v>
      </c>
      <c r="AA104" s="2"/>
      <c r="AB104" s="2"/>
      <c r="AC104" s="2"/>
      <c r="AD104" s="2"/>
      <c r="AE104" s="5" t="s">
        <v>41</v>
      </c>
      <c r="AF104" s="2"/>
      <c r="AG104" s="2"/>
      <c r="AH104" s="2"/>
      <c r="AI104" s="1"/>
      <c r="AJ104" s="5" t="s">
        <v>48</v>
      </c>
      <c r="AK104" s="2"/>
      <c r="AL104" s="2"/>
      <c r="AM104" s="2"/>
      <c r="AN104" s="2"/>
      <c r="AO104" s="5" t="s">
        <v>95</v>
      </c>
      <c r="AP104" s="2"/>
      <c r="AQ104" s="2"/>
      <c r="AR104" s="2"/>
      <c r="AS104" s="2"/>
      <c r="AT104" s="5" t="s">
        <v>55</v>
      </c>
      <c r="AU104" s="2"/>
      <c r="AV104" s="2"/>
      <c r="AW104" s="2"/>
      <c r="AX104" s="2"/>
      <c r="AY104" s="5" t="s">
        <v>96</v>
      </c>
      <c r="AZ104" s="2"/>
      <c r="BA104" s="2"/>
      <c r="BB104" s="2"/>
      <c r="BC104" s="2"/>
      <c r="BD104" s="5" t="s">
        <v>148</v>
      </c>
      <c r="BE104" s="2"/>
      <c r="BF104" s="2"/>
      <c r="BG104" s="2"/>
      <c r="BH104" s="2"/>
    </row>
    <row r="105" spans="1:60" x14ac:dyDescent="0.2">
      <c r="B105" s="43"/>
      <c r="C105" s="15"/>
      <c r="F105" s="8" t="s">
        <v>9</v>
      </c>
      <c r="G105" s="9" t="s">
        <v>10</v>
      </c>
      <c r="H105" s="9" t="s">
        <v>11</v>
      </c>
      <c r="I105" s="9" t="s">
        <v>12</v>
      </c>
      <c r="J105" s="10" t="s">
        <v>13</v>
      </c>
      <c r="K105" s="9" t="s">
        <v>9</v>
      </c>
      <c r="L105" s="9" t="s">
        <v>10</v>
      </c>
      <c r="M105" s="9" t="s">
        <v>11</v>
      </c>
      <c r="N105" s="9" t="s">
        <v>12</v>
      </c>
      <c r="O105" s="9" t="s">
        <v>13</v>
      </c>
      <c r="P105" s="8" t="s">
        <v>9</v>
      </c>
      <c r="Q105" s="9" t="s">
        <v>10</v>
      </c>
      <c r="R105" s="9" t="s">
        <v>11</v>
      </c>
      <c r="S105" s="9" t="s">
        <v>12</v>
      </c>
      <c r="T105" s="9" t="s">
        <v>13</v>
      </c>
      <c r="U105" s="8" t="s">
        <v>9</v>
      </c>
      <c r="V105" s="9" t="s">
        <v>10</v>
      </c>
      <c r="W105" s="9" t="s">
        <v>11</v>
      </c>
      <c r="X105" s="9" t="s">
        <v>12</v>
      </c>
      <c r="Y105" s="9" t="s">
        <v>13</v>
      </c>
      <c r="Z105" s="8" t="s">
        <v>9</v>
      </c>
      <c r="AA105" s="9" t="s">
        <v>10</v>
      </c>
      <c r="AB105" s="9" t="s">
        <v>11</v>
      </c>
      <c r="AC105" s="9" t="s">
        <v>12</v>
      </c>
      <c r="AD105" s="9" t="s">
        <v>14</v>
      </c>
      <c r="AE105" s="8" t="s">
        <v>9</v>
      </c>
      <c r="AF105" s="9" t="s">
        <v>10</v>
      </c>
      <c r="AG105" s="9" t="s">
        <v>11</v>
      </c>
      <c r="AH105" s="9" t="s">
        <v>12</v>
      </c>
      <c r="AI105" s="10" t="s">
        <v>13</v>
      </c>
      <c r="AJ105" s="9" t="s">
        <v>9</v>
      </c>
      <c r="AK105" s="9" t="s">
        <v>10</v>
      </c>
      <c r="AL105" s="9" t="s">
        <v>11</v>
      </c>
      <c r="AM105" s="9" t="s">
        <v>12</v>
      </c>
      <c r="AN105" s="9" t="s">
        <v>13</v>
      </c>
      <c r="AO105" s="8" t="s">
        <v>9</v>
      </c>
      <c r="AP105" s="9" t="s">
        <v>10</v>
      </c>
      <c r="AQ105" s="9" t="s">
        <v>11</v>
      </c>
      <c r="AR105" s="9" t="s">
        <v>12</v>
      </c>
      <c r="AS105" s="9" t="s">
        <v>13</v>
      </c>
      <c r="AT105" s="8" t="s">
        <v>9</v>
      </c>
      <c r="AU105" s="9" t="s">
        <v>10</v>
      </c>
      <c r="AV105" s="9" t="s">
        <v>11</v>
      </c>
      <c r="AW105" s="9" t="s">
        <v>12</v>
      </c>
      <c r="AX105" s="9" t="s">
        <v>13</v>
      </c>
      <c r="AY105" s="8" t="s">
        <v>9</v>
      </c>
      <c r="AZ105" s="9" t="s">
        <v>10</v>
      </c>
      <c r="BA105" s="9" t="s">
        <v>11</v>
      </c>
      <c r="BB105" s="9" t="s">
        <v>12</v>
      </c>
      <c r="BC105" s="42" t="s">
        <v>14</v>
      </c>
      <c r="BD105" s="8" t="s">
        <v>9</v>
      </c>
      <c r="BE105" s="9" t="s">
        <v>10</v>
      </c>
      <c r="BF105" s="9" t="s">
        <v>11</v>
      </c>
      <c r="BG105" s="9" t="s">
        <v>12</v>
      </c>
      <c r="BH105" s="42" t="s">
        <v>14</v>
      </c>
    </row>
    <row r="106" spans="1:60" x14ac:dyDescent="0.2">
      <c r="A106" s="23"/>
      <c r="B106" s="26"/>
      <c r="C106" s="23"/>
      <c r="D106" s="58" t="s">
        <v>151</v>
      </c>
      <c r="E106" s="23"/>
      <c r="F106" s="25"/>
      <c r="G106" s="23"/>
      <c r="H106" s="23"/>
      <c r="I106" s="23"/>
      <c r="J106" s="23"/>
      <c r="K106" s="25"/>
      <c r="L106" s="23"/>
      <c r="M106" s="23"/>
      <c r="N106" s="23"/>
      <c r="O106" s="23"/>
      <c r="P106" s="25"/>
      <c r="Q106" s="23"/>
      <c r="R106" s="23"/>
      <c r="S106" s="23"/>
      <c r="T106" s="23"/>
      <c r="U106" s="25"/>
      <c r="V106" s="23"/>
      <c r="W106" s="23"/>
      <c r="X106" s="23"/>
      <c r="Y106" s="23"/>
      <c r="Z106" s="25"/>
      <c r="AA106" s="23"/>
      <c r="AB106" s="23"/>
      <c r="AC106" s="23"/>
      <c r="AD106" s="23"/>
      <c r="AE106" s="25"/>
      <c r="AF106" s="23"/>
      <c r="AG106" s="23"/>
      <c r="AH106" s="23"/>
      <c r="AI106" s="23"/>
      <c r="AJ106" s="25"/>
      <c r="AK106" s="23"/>
      <c r="AL106" s="23"/>
      <c r="AM106" s="23"/>
      <c r="AN106" s="23"/>
      <c r="AO106" s="25"/>
      <c r="AP106" s="23"/>
      <c r="AQ106" s="23"/>
      <c r="AR106" s="23"/>
      <c r="AS106" s="23"/>
      <c r="AT106" s="25"/>
      <c r="AU106" s="23"/>
      <c r="AV106" s="23"/>
      <c r="AW106" s="23"/>
      <c r="AX106" s="23"/>
      <c r="AY106" s="25"/>
      <c r="AZ106" s="23"/>
      <c r="BA106" s="23"/>
      <c r="BB106" s="23"/>
      <c r="BC106" s="26"/>
      <c r="BD106" s="25"/>
      <c r="BE106" s="23"/>
      <c r="BF106" s="23"/>
      <c r="BG106" s="23"/>
      <c r="BH106" s="26"/>
    </row>
    <row r="107" spans="1:60" x14ac:dyDescent="0.2">
      <c r="B107" s="13">
        <v>41854</v>
      </c>
      <c r="C107" s="13"/>
      <c r="D107" s="6" t="s">
        <v>97</v>
      </c>
      <c r="E107" s="43"/>
      <c r="J107" s="14"/>
      <c r="K107" s="6">
        <v>16</v>
      </c>
      <c r="L107" s="15">
        <v>1</v>
      </c>
      <c r="M107" s="15">
        <v>0</v>
      </c>
      <c r="N107" s="15">
        <v>0</v>
      </c>
      <c r="O107" s="14">
        <f t="shared" ref="O107:O120" si="28">SUM(K107:N107)</f>
        <v>17</v>
      </c>
      <c r="P107" s="6">
        <v>17</v>
      </c>
      <c r="Q107" s="15">
        <v>1</v>
      </c>
      <c r="R107" s="15">
        <v>0</v>
      </c>
      <c r="S107" s="15">
        <v>0</v>
      </c>
      <c r="T107" s="14">
        <f t="shared" ref="T107:T120" si="29">SUM(P107:S107)</f>
        <v>18</v>
      </c>
      <c r="U107" s="6">
        <v>15</v>
      </c>
      <c r="V107" s="15">
        <v>2</v>
      </c>
      <c r="W107" s="15">
        <v>1</v>
      </c>
      <c r="X107" s="15">
        <v>0</v>
      </c>
      <c r="Y107" s="14">
        <f t="shared" ref="Y107:Y120" si="30">SUM(U107:X107)</f>
        <v>18</v>
      </c>
      <c r="Z107" s="6">
        <v>10</v>
      </c>
      <c r="AA107" s="15">
        <v>2</v>
      </c>
      <c r="AB107" s="15">
        <v>7</v>
      </c>
      <c r="AC107" s="15">
        <v>0</v>
      </c>
      <c r="AD107" s="14">
        <f t="shared" ref="AD107:AD120" si="31">SUM(Z107:AC107)</f>
        <v>19</v>
      </c>
      <c r="AE107" s="6">
        <v>9</v>
      </c>
      <c r="AF107" s="15">
        <v>0</v>
      </c>
      <c r="AG107" s="15">
        <v>9</v>
      </c>
      <c r="AH107" s="15">
        <v>0</v>
      </c>
      <c r="AI107" s="14">
        <f t="shared" ref="AI107:AI120" si="32">SUM(AE107:AH107)</f>
        <v>18</v>
      </c>
      <c r="AJ107" s="6">
        <v>4</v>
      </c>
      <c r="AK107" s="15">
        <v>1</v>
      </c>
      <c r="AL107" s="15">
        <v>13</v>
      </c>
      <c r="AM107" s="15">
        <v>0</v>
      </c>
      <c r="AN107" s="14">
        <f t="shared" ref="AN107:AN120" si="33">SUM(AJ107:AM107)</f>
        <v>18</v>
      </c>
      <c r="AO107" s="6">
        <v>1</v>
      </c>
      <c r="AP107" s="15">
        <v>0</v>
      </c>
      <c r="AQ107" s="15">
        <v>17</v>
      </c>
      <c r="AR107" s="15">
        <v>0</v>
      </c>
      <c r="AS107" s="14">
        <f t="shared" ref="AS107:AS120" si="34">SUM(AO107:AR107)</f>
        <v>18</v>
      </c>
      <c r="AT107" s="6">
        <v>1</v>
      </c>
      <c r="AU107" s="15">
        <v>0</v>
      </c>
      <c r="AV107" s="15">
        <v>15</v>
      </c>
      <c r="AW107" s="15">
        <v>0</v>
      </c>
      <c r="AX107" s="14">
        <f t="shared" ref="AX107:AX120" si="35">SUM(AT107:AW107)</f>
        <v>16</v>
      </c>
      <c r="AY107" s="6">
        <v>1</v>
      </c>
      <c r="AZ107" s="15">
        <v>0</v>
      </c>
      <c r="BA107" s="15">
        <v>15</v>
      </c>
      <c r="BB107" s="15">
        <v>0</v>
      </c>
      <c r="BC107" s="34">
        <f t="shared" ref="BC107:BC120" si="36">SUM(AY107:BB107)</f>
        <v>16</v>
      </c>
      <c r="BD107" s="6"/>
      <c r="BE107" s="15"/>
      <c r="BF107" s="15"/>
      <c r="BG107" s="15"/>
      <c r="BH107" s="43">
        <f t="shared" ref="BH107:BH112" si="37">SUM(BD107:BG107)</f>
        <v>0</v>
      </c>
    </row>
    <row r="108" spans="1:60" x14ac:dyDescent="0.2">
      <c r="B108" s="13">
        <v>41854</v>
      </c>
      <c r="C108" s="13"/>
      <c r="D108" s="6" t="s">
        <v>98</v>
      </c>
      <c r="F108" s="6"/>
      <c r="J108" s="14"/>
      <c r="K108" s="6">
        <v>15</v>
      </c>
      <c r="L108" s="15">
        <v>3</v>
      </c>
      <c r="M108" s="15">
        <v>0</v>
      </c>
      <c r="N108" s="15">
        <v>0</v>
      </c>
      <c r="O108" s="14">
        <f t="shared" si="28"/>
        <v>18</v>
      </c>
      <c r="P108" s="6">
        <v>16</v>
      </c>
      <c r="Q108" s="82">
        <v>2</v>
      </c>
      <c r="R108" s="15">
        <v>0</v>
      </c>
      <c r="S108" s="15">
        <v>0</v>
      </c>
      <c r="T108" s="14">
        <f t="shared" si="29"/>
        <v>18</v>
      </c>
      <c r="U108" s="6">
        <v>14</v>
      </c>
      <c r="V108" s="15">
        <v>1</v>
      </c>
      <c r="W108" s="15">
        <v>3</v>
      </c>
      <c r="X108" s="15">
        <v>0</v>
      </c>
      <c r="Y108" s="14">
        <f t="shared" si="30"/>
        <v>18</v>
      </c>
      <c r="Z108" s="6">
        <v>12</v>
      </c>
      <c r="AA108" s="15">
        <v>1</v>
      </c>
      <c r="AB108" s="15">
        <v>4</v>
      </c>
      <c r="AC108" s="15">
        <v>0</v>
      </c>
      <c r="AD108" s="14">
        <f t="shared" si="31"/>
        <v>17</v>
      </c>
      <c r="AE108" s="6">
        <v>7</v>
      </c>
      <c r="AF108" s="15">
        <v>1</v>
      </c>
      <c r="AG108" s="15">
        <v>9</v>
      </c>
      <c r="AH108" s="15">
        <v>0</v>
      </c>
      <c r="AI108" s="14">
        <f t="shared" si="32"/>
        <v>17</v>
      </c>
      <c r="AJ108" s="6">
        <v>5</v>
      </c>
      <c r="AK108" s="15">
        <v>0</v>
      </c>
      <c r="AL108" s="15">
        <v>12</v>
      </c>
      <c r="AM108" s="15">
        <v>0</v>
      </c>
      <c r="AN108" s="14">
        <f t="shared" si="33"/>
        <v>17</v>
      </c>
      <c r="AO108" s="6">
        <v>2</v>
      </c>
      <c r="AP108" s="15">
        <v>2</v>
      </c>
      <c r="AQ108" s="15">
        <v>10</v>
      </c>
      <c r="AR108" s="15">
        <v>0</v>
      </c>
      <c r="AS108" s="14">
        <f t="shared" si="34"/>
        <v>14</v>
      </c>
      <c r="AT108" s="6">
        <v>0</v>
      </c>
      <c r="AU108" s="15">
        <v>1</v>
      </c>
      <c r="AV108" s="15">
        <v>13</v>
      </c>
      <c r="AW108" s="15">
        <v>0</v>
      </c>
      <c r="AX108" s="14">
        <f t="shared" si="35"/>
        <v>14</v>
      </c>
      <c r="AY108" s="6">
        <v>0</v>
      </c>
      <c r="AZ108" s="15">
        <v>0</v>
      </c>
      <c r="BA108" s="15">
        <v>13</v>
      </c>
      <c r="BB108" s="15">
        <v>0</v>
      </c>
      <c r="BC108" s="34">
        <f t="shared" si="36"/>
        <v>13</v>
      </c>
      <c r="BD108" s="6"/>
      <c r="BE108" s="15"/>
      <c r="BF108" s="15"/>
      <c r="BG108" s="15"/>
      <c r="BH108" s="43">
        <f t="shared" si="37"/>
        <v>0</v>
      </c>
    </row>
    <row r="109" spans="1:60" x14ac:dyDescent="0.2">
      <c r="B109" s="13">
        <v>41854</v>
      </c>
      <c r="C109" s="13"/>
      <c r="D109" s="6" t="s">
        <v>99</v>
      </c>
      <c r="F109" s="6"/>
      <c r="J109" s="14"/>
      <c r="K109" s="6">
        <v>18</v>
      </c>
      <c r="L109" s="15">
        <v>0</v>
      </c>
      <c r="M109" s="15">
        <v>0</v>
      </c>
      <c r="N109" s="15">
        <v>0</v>
      </c>
      <c r="O109" s="14">
        <f t="shared" si="28"/>
        <v>18</v>
      </c>
      <c r="P109" s="6">
        <v>18</v>
      </c>
      <c r="Q109" s="15">
        <v>0</v>
      </c>
      <c r="R109" s="15">
        <v>0</v>
      </c>
      <c r="S109" s="15">
        <v>0</v>
      </c>
      <c r="T109" s="14">
        <f t="shared" si="29"/>
        <v>18</v>
      </c>
      <c r="U109" s="6">
        <v>17</v>
      </c>
      <c r="V109" s="15">
        <v>0</v>
      </c>
      <c r="W109" s="15">
        <v>0</v>
      </c>
      <c r="X109" s="15">
        <v>0</v>
      </c>
      <c r="Y109" s="14">
        <f t="shared" si="30"/>
        <v>17</v>
      </c>
      <c r="Z109" s="6">
        <v>16</v>
      </c>
      <c r="AA109" s="15">
        <v>1</v>
      </c>
      <c r="AB109" s="15">
        <v>1</v>
      </c>
      <c r="AC109" s="15">
        <v>0</v>
      </c>
      <c r="AD109" s="14">
        <f t="shared" si="31"/>
        <v>18</v>
      </c>
      <c r="AE109" s="6">
        <v>15</v>
      </c>
      <c r="AF109" s="15">
        <v>0</v>
      </c>
      <c r="AG109" s="15">
        <v>4</v>
      </c>
      <c r="AH109" s="15">
        <v>0</v>
      </c>
      <c r="AI109" s="14">
        <f t="shared" si="32"/>
        <v>19</v>
      </c>
      <c r="AJ109" s="6">
        <v>14</v>
      </c>
      <c r="AK109" s="15">
        <v>0</v>
      </c>
      <c r="AL109" s="15">
        <v>4</v>
      </c>
      <c r="AM109" s="15">
        <v>0</v>
      </c>
      <c r="AN109" s="14">
        <f t="shared" si="33"/>
        <v>18</v>
      </c>
      <c r="AO109" s="6">
        <v>7</v>
      </c>
      <c r="AP109" s="15">
        <v>1</v>
      </c>
      <c r="AQ109" s="15">
        <v>9</v>
      </c>
      <c r="AR109" s="15">
        <v>0</v>
      </c>
      <c r="AS109" s="14">
        <f t="shared" si="34"/>
        <v>17</v>
      </c>
      <c r="AT109" s="6">
        <v>5</v>
      </c>
      <c r="AU109" s="15">
        <v>1</v>
      </c>
      <c r="AV109" s="15">
        <v>9</v>
      </c>
      <c r="AW109" s="15">
        <v>0</v>
      </c>
      <c r="AX109" s="14">
        <f t="shared" si="35"/>
        <v>15</v>
      </c>
      <c r="AY109" s="6">
        <v>4</v>
      </c>
      <c r="AZ109" s="15">
        <v>1</v>
      </c>
      <c r="BA109" s="15">
        <v>10</v>
      </c>
      <c r="BB109" s="15">
        <v>0</v>
      </c>
      <c r="BC109" s="34">
        <f t="shared" si="36"/>
        <v>15</v>
      </c>
      <c r="BD109" s="6"/>
      <c r="BE109" s="15"/>
      <c r="BF109" s="15"/>
      <c r="BG109" s="15"/>
      <c r="BH109" s="43">
        <f t="shared" si="37"/>
        <v>0</v>
      </c>
    </row>
    <row r="110" spans="1:60" x14ac:dyDescent="0.2">
      <c r="A110" t="s">
        <v>100</v>
      </c>
      <c r="B110" s="13">
        <v>41854</v>
      </c>
      <c r="C110" s="13"/>
      <c r="D110" s="6" t="s">
        <v>101</v>
      </c>
      <c r="F110" s="6"/>
      <c r="J110" s="14"/>
      <c r="K110" s="6">
        <v>15</v>
      </c>
      <c r="L110" s="15">
        <v>1</v>
      </c>
      <c r="M110" s="15">
        <v>0</v>
      </c>
      <c r="N110" s="15">
        <v>0</v>
      </c>
      <c r="O110" s="14">
        <f t="shared" si="28"/>
        <v>16</v>
      </c>
      <c r="P110" s="6">
        <v>16</v>
      </c>
      <c r="Q110" s="15">
        <v>0</v>
      </c>
      <c r="R110" s="15">
        <v>0</v>
      </c>
      <c r="S110" s="15">
        <v>0</v>
      </c>
      <c r="T110" s="14">
        <f t="shared" si="29"/>
        <v>16</v>
      </c>
      <c r="U110" s="6">
        <v>13</v>
      </c>
      <c r="V110" s="15">
        <v>3</v>
      </c>
      <c r="W110" s="15">
        <v>1</v>
      </c>
      <c r="X110" s="15">
        <v>0</v>
      </c>
      <c r="Y110" s="14">
        <f t="shared" si="30"/>
        <v>17</v>
      </c>
      <c r="Z110" s="6">
        <v>12</v>
      </c>
      <c r="AA110" s="15">
        <v>0</v>
      </c>
      <c r="AB110" s="15">
        <v>5</v>
      </c>
      <c r="AC110" s="15">
        <v>0</v>
      </c>
      <c r="AD110" s="14">
        <f t="shared" si="31"/>
        <v>17</v>
      </c>
      <c r="AE110" s="6">
        <v>4</v>
      </c>
      <c r="AF110" s="15">
        <v>1</v>
      </c>
      <c r="AG110" s="15">
        <v>10</v>
      </c>
      <c r="AH110" s="15">
        <v>0</v>
      </c>
      <c r="AI110" s="14">
        <f t="shared" si="32"/>
        <v>15</v>
      </c>
      <c r="AJ110" s="6">
        <v>1</v>
      </c>
      <c r="AK110" s="15">
        <v>1</v>
      </c>
      <c r="AL110" s="15">
        <v>12</v>
      </c>
      <c r="AM110" s="15">
        <v>0</v>
      </c>
      <c r="AN110" s="14">
        <f t="shared" si="33"/>
        <v>14</v>
      </c>
      <c r="AO110" s="6">
        <v>0</v>
      </c>
      <c r="AP110" s="15">
        <v>1</v>
      </c>
      <c r="AQ110" s="15">
        <v>15</v>
      </c>
      <c r="AR110" s="15">
        <v>0</v>
      </c>
      <c r="AS110" s="14">
        <f t="shared" si="34"/>
        <v>16</v>
      </c>
      <c r="AT110" s="6">
        <v>0</v>
      </c>
      <c r="AU110" s="15">
        <v>1</v>
      </c>
      <c r="AV110" s="15">
        <v>14</v>
      </c>
      <c r="AW110" s="15">
        <v>0</v>
      </c>
      <c r="AX110" s="14">
        <f t="shared" si="35"/>
        <v>15</v>
      </c>
      <c r="AY110" s="6">
        <v>0</v>
      </c>
      <c r="AZ110" s="15">
        <v>0</v>
      </c>
      <c r="BA110" s="15">
        <v>16</v>
      </c>
      <c r="BB110" s="15">
        <v>0</v>
      </c>
      <c r="BC110" s="34">
        <f t="shared" si="36"/>
        <v>16</v>
      </c>
      <c r="BD110" s="6"/>
      <c r="BE110" s="15"/>
      <c r="BF110" s="15"/>
      <c r="BG110" s="15"/>
      <c r="BH110" s="43">
        <f t="shared" si="37"/>
        <v>0</v>
      </c>
    </row>
    <row r="111" spans="1:60" x14ac:dyDescent="0.2">
      <c r="B111" s="13">
        <v>41854</v>
      </c>
      <c r="C111" s="13"/>
      <c r="D111" s="6" t="s">
        <v>102</v>
      </c>
      <c r="F111" s="6"/>
      <c r="J111" s="14"/>
      <c r="K111" s="6">
        <v>17</v>
      </c>
      <c r="L111" s="15">
        <v>3</v>
      </c>
      <c r="M111" s="15">
        <v>0</v>
      </c>
      <c r="N111" s="15">
        <v>0</v>
      </c>
      <c r="O111" s="14">
        <f t="shared" si="28"/>
        <v>20</v>
      </c>
      <c r="P111" s="6">
        <v>13</v>
      </c>
      <c r="Q111" s="15">
        <v>3</v>
      </c>
      <c r="R111" s="15">
        <v>3</v>
      </c>
      <c r="S111" s="15">
        <v>0</v>
      </c>
      <c r="T111" s="14">
        <f t="shared" si="29"/>
        <v>19</v>
      </c>
      <c r="U111" s="6">
        <v>1</v>
      </c>
      <c r="V111" s="15">
        <v>3</v>
      </c>
      <c r="W111" s="15">
        <v>16</v>
      </c>
      <c r="X111" s="15">
        <v>0</v>
      </c>
      <c r="Y111" s="14">
        <f t="shared" si="30"/>
        <v>20</v>
      </c>
      <c r="Z111" s="6">
        <v>0</v>
      </c>
      <c r="AA111" s="15">
        <v>1</v>
      </c>
      <c r="AB111" s="15">
        <v>18</v>
      </c>
      <c r="AC111" s="15">
        <v>0</v>
      </c>
      <c r="AD111" s="14">
        <f t="shared" si="31"/>
        <v>19</v>
      </c>
      <c r="AE111" s="6">
        <v>0</v>
      </c>
      <c r="AF111" s="15">
        <v>1</v>
      </c>
      <c r="AG111" s="15">
        <v>19</v>
      </c>
      <c r="AH111" s="15">
        <v>0</v>
      </c>
      <c r="AI111" s="14">
        <f t="shared" si="32"/>
        <v>20</v>
      </c>
      <c r="AJ111" s="6">
        <v>0</v>
      </c>
      <c r="AK111" s="15">
        <v>1</v>
      </c>
      <c r="AL111" s="15">
        <v>19</v>
      </c>
      <c r="AM111" s="15">
        <v>0</v>
      </c>
      <c r="AN111" s="14">
        <f t="shared" si="33"/>
        <v>20</v>
      </c>
      <c r="AO111" s="6">
        <v>0</v>
      </c>
      <c r="AP111" s="15">
        <v>0</v>
      </c>
      <c r="AQ111" s="15">
        <v>19</v>
      </c>
      <c r="AR111" s="15">
        <v>0</v>
      </c>
      <c r="AS111" s="14">
        <f t="shared" si="34"/>
        <v>19</v>
      </c>
      <c r="AT111" s="6">
        <v>0</v>
      </c>
      <c r="AU111" s="15">
        <v>0</v>
      </c>
      <c r="AV111" s="15">
        <v>17</v>
      </c>
      <c r="AW111" s="15">
        <v>0</v>
      </c>
      <c r="AX111" s="14">
        <f t="shared" si="35"/>
        <v>17</v>
      </c>
      <c r="AY111" s="6"/>
      <c r="AZ111" s="15"/>
      <c r="BA111" s="15"/>
      <c r="BB111" s="15"/>
      <c r="BC111" s="34">
        <f t="shared" si="36"/>
        <v>0</v>
      </c>
      <c r="BD111" s="6"/>
      <c r="BE111" s="15"/>
      <c r="BF111" s="15"/>
      <c r="BG111" s="15"/>
      <c r="BH111" s="43">
        <f t="shared" si="37"/>
        <v>0</v>
      </c>
    </row>
    <row r="112" spans="1:60" x14ac:dyDescent="0.2">
      <c r="B112" s="13">
        <v>41854</v>
      </c>
      <c r="C112" s="13"/>
      <c r="D112" s="6" t="s">
        <v>103</v>
      </c>
      <c r="E112" s="34"/>
      <c r="F112" s="32"/>
      <c r="J112" s="14"/>
      <c r="K112" s="32">
        <v>14</v>
      </c>
      <c r="L112" s="15">
        <v>0</v>
      </c>
      <c r="M112" s="15">
        <v>0</v>
      </c>
      <c r="N112" s="15">
        <v>0</v>
      </c>
      <c r="O112" s="14">
        <f t="shared" si="28"/>
        <v>14</v>
      </c>
      <c r="P112" s="32">
        <v>14</v>
      </c>
      <c r="Q112" s="15">
        <v>0</v>
      </c>
      <c r="R112" s="15">
        <v>0</v>
      </c>
      <c r="S112" s="15">
        <v>0</v>
      </c>
      <c r="T112" s="14">
        <f t="shared" si="29"/>
        <v>14</v>
      </c>
      <c r="U112" s="32">
        <v>13</v>
      </c>
      <c r="V112" s="15">
        <v>0</v>
      </c>
      <c r="W112" s="15">
        <v>0</v>
      </c>
      <c r="X112" s="15">
        <v>0</v>
      </c>
      <c r="Y112" s="14">
        <f t="shared" si="30"/>
        <v>13</v>
      </c>
      <c r="Z112" s="32">
        <v>13</v>
      </c>
      <c r="AA112" s="15">
        <v>0</v>
      </c>
      <c r="AB112" s="15">
        <v>0</v>
      </c>
      <c r="AC112" s="15">
        <v>0</v>
      </c>
      <c r="AD112" s="14">
        <f t="shared" si="31"/>
        <v>13</v>
      </c>
      <c r="AE112" s="86">
        <v>12</v>
      </c>
      <c r="AF112" s="15">
        <v>0</v>
      </c>
      <c r="AG112" s="82">
        <v>1</v>
      </c>
      <c r="AH112" s="15">
        <v>0</v>
      </c>
      <c r="AI112" s="14">
        <f t="shared" si="32"/>
        <v>13</v>
      </c>
      <c r="AJ112" s="32">
        <v>12</v>
      </c>
      <c r="AK112" s="15">
        <v>0</v>
      </c>
      <c r="AL112" s="15">
        <v>1</v>
      </c>
      <c r="AM112" s="15">
        <v>0</v>
      </c>
      <c r="AN112" s="14">
        <f t="shared" si="33"/>
        <v>13</v>
      </c>
      <c r="AO112" s="86">
        <v>9</v>
      </c>
      <c r="AP112" s="82">
        <v>1</v>
      </c>
      <c r="AQ112" s="82">
        <v>3</v>
      </c>
      <c r="AR112" s="15">
        <v>0</v>
      </c>
      <c r="AS112" s="14">
        <f t="shared" si="34"/>
        <v>13</v>
      </c>
      <c r="AT112" s="32">
        <v>9</v>
      </c>
      <c r="AU112" s="15">
        <v>1</v>
      </c>
      <c r="AV112" s="15">
        <v>3</v>
      </c>
      <c r="AW112" s="15">
        <v>0</v>
      </c>
      <c r="AX112" s="14">
        <f t="shared" si="35"/>
        <v>13</v>
      </c>
      <c r="AY112" s="32">
        <v>6</v>
      </c>
      <c r="AZ112" s="15">
        <v>1</v>
      </c>
      <c r="BA112" s="15">
        <v>6</v>
      </c>
      <c r="BB112" s="15">
        <v>0</v>
      </c>
      <c r="BC112" s="34">
        <f t="shared" si="36"/>
        <v>13</v>
      </c>
      <c r="BD112" s="32"/>
      <c r="BE112" s="15"/>
      <c r="BF112" s="15"/>
      <c r="BG112" s="15"/>
      <c r="BH112" s="43">
        <f t="shared" si="37"/>
        <v>0</v>
      </c>
    </row>
    <row r="113" spans="1:60" x14ac:dyDescent="0.2">
      <c r="A113" t="s">
        <v>140</v>
      </c>
      <c r="B113" s="13">
        <v>42045</v>
      </c>
      <c r="C113" s="13"/>
      <c r="D113" s="6" t="s">
        <v>104</v>
      </c>
      <c r="E113" s="56"/>
      <c r="F113" s="44"/>
      <c r="G113" s="54"/>
      <c r="H113" s="54"/>
      <c r="I113" s="54"/>
      <c r="J113" s="56"/>
      <c r="K113" s="44">
        <v>18</v>
      </c>
      <c r="L113" s="46">
        <v>1</v>
      </c>
      <c r="M113" s="46">
        <v>0</v>
      </c>
      <c r="N113" s="46">
        <v>0</v>
      </c>
      <c r="O113" s="56">
        <f t="shared" si="28"/>
        <v>19</v>
      </c>
      <c r="P113" s="44">
        <v>18</v>
      </c>
      <c r="Q113" s="46">
        <v>0</v>
      </c>
      <c r="R113" s="46">
        <v>0</v>
      </c>
      <c r="S113" s="46">
        <v>0</v>
      </c>
      <c r="T113" s="56">
        <f t="shared" si="29"/>
        <v>18</v>
      </c>
      <c r="U113" s="44">
        <v>17</v>
      </c>
      <c r="V113" s="46">
        <v>0</v>
      </c>
      <c r="W113" s="46">
        <v>1</v>
      </c>
      <c r="X113" s="46">
        <v>0</v>
      </c>
      <c r="Y113" s="56">
        <f t="shared" si="30"/>
        <v>18</v>
      </c>
      <c r="Z113" s="44">
        <v>16</v>
      </c>
      <c r="AA113" s="46">
        <v>0</v>
      </c>
      <c r="AB113" s="46">
        <v>1</v>
      </c>
      <c r="AC113" s="46">
        <v>0</v>
      </c>
      <c r="AD113" s="56">
        <f t="shared" si="31"/>
        <v>17</v>
      </c>
      <c r="AE113" s="44">
        <v>18</v>
      </c>
      <c r="AF113" s="46">
        <v>0</v>
      </c>
      <c r="AG113" s="46">
        <v>2</v>
      </c>
      <c r="AH113" s="46">
        <v>0</v>
      </c>
      <c r="AI113" s="56">
        <f t="shared" si="32"/>
        <v>20</v>
      </c>
      <c r="AJ113" s="46">
        <v>5</v>
      </c>
      <c r="AK113" s="46">
        <v>4</v>
      </c>
      <c r="AL113" s="46">
        <v>11</v>
      </c>
      <c r="AM113" s="46">
        <v>0</v>
      </c>
      <c r="AN113" s="56">
        <f t="shared" si="33"/>
        <v>20</v>
      </c>
      <c r="AO113" s="46">
        <v>3</v>
      </c>
      <c r="AP113" s="46">
        <v>4</v>
      </c>
      <c r="AQ113" s="46">
        <v>13</v>
      </c>
      <c r="AR113" s="46">
        <v>0</v>
      </c>
      <c r="AS113" s="56">
        <f t="shared" si="34"/>
        <v>20</v>
      </c>
      <c r="AT113" s="46">
        <v>0</v>
      </c>
      <c r="AU113" s="46">
        <v>0</v>
      </c>
      <c r="AV113" s="46">
        <v>18</v>
      </c>
      <c r="AW113" s="46">
        <v>0</v>
      </c>
      <c r="AX113" s="56">
        <f t="shared" si="35"/>
        <v>18</v>
      </c>
      <c r="AY113" s="46">
        <v>0</v>
      </c>
      <c r="AZ113" s="46">
        <v>2</v>
      </c>
      <c r="BA113" s="46">
        <v>15</v>
      </c>
      <c r="BB113" s="46">
        <v>0</v>
      </c>
      <c r="BC113" s="56">
        <f t="shared" si="36"/>
        <v>17</v>
      </c>
      <c r="BD113" s="46">
        <v>0</v>
      </c>
      <c r="BE113" s="46">
        <v>2</v>
      </c>
      <c r="BF113" s="46">
        <v>16</v>
      </c>
      <c r="BG113" s="46">
        <v>0</v>
      </c>
      <c r="BH113" s="56">
        <f>SUM(BD113:BG113)</f>
        <v>18</v>
      </c>
    </row>
    <row r="114" spans="1:60" x14ac:dyDescent="0.2">
      <c r="A114" s="33" t="s">
        <v>140</v>
      </c>
      <c r="B114" s="13">
        <v>42045</v>
      </c>
      <c r="C114" s="13"/>
      <c r="D114" s="6" t="s">
        <v>105</v>
      </c>
      <c r="E114" s="56"/>
      <c r="F114" s="44"/>
      <c r="G114" s="54"/>
      <c r="H114" s="54"/>
      <c r="I114" s="54"/>
      <c r="J114" s="56"/>
      <c r="K114" s="44">
        <v>18</v>
      </c>
      <c r="L114" s="46">
        <v>0</v>
      </c>
      <c r="M114" s="46">
        <v>0</v>
      </c>
      <c r="N114" s="46">
        <v>0</v>
      </c>
      <c r="O114" s="56">
        <f t="shared" si="28"/>
        <v>18</v>
      </c>
      <c r="P114" s="44">
        <v>16</v>
      </c>
      <c r="Q114" s="46">
        <v>1</v>
      </c>
      <c r="R114" s="46">
        <v>0</v>
      </c>
      <c r="S114" s="46">
        <v>0</v>
      </c>
      <c r="T114" s="56">
        <f t="shared" si="29"/>
        <v>17</v>
      </c>
      <c r="U114" s="44">
        <v>15</v>
      </c>
      <c r="V114" s="46">
        <v>0</v>
      </c>
      <c r="W114" s="46">
        <v>2</v>
      </c>
      <c r="X114" s="46">
        <v>0</v>
      </c>
      <c r="Y114" s="56">
        <f t="shared" si="30"/>
        <v>17</v>
      </c>
      <c r="Z114" s="44">
        <v>16</v>
      </c>
      <c r="AA114" s="46">
        <v>0</v>
      </c>
      <c r="AB114" s="46">
        <v>2</v>
      </c>
      <c r="AC114" s="46">
        <v>0</v>
      </c>
      <c r="AD114" s="56">
        <f t="shared" si="31"/>
        <v>18</v>
      </c>
      <c r="AE114" s="44">
        <v>12</v>
      </c>
      <c r="AF114" s="46">
        <v>4</v>
      </c>
      <c r="AG114" s="46">
        <v>2</v>
      </c>
      <c r="AH114" s="46">
        <v>0</v>
      </c>
      <c r="AI114" s="56">
        <f t="shared" si="32"/>
        <v>18</v>
      </c>
      <c r="AJ114" s="44">
        <v>6</v>
      </c>
      <c r="AK114" s="45">
        <v>7</v>
      </c>
      <c r="AL114" s="45">
        <v>5</v>
      </c>
      <c r="AM114" s="45">
        <v>0</v>
      </c>
      <c r="AN114" s="56">
        <f t="shared" si="33"/>
        <v>18</v>
      </c>
      <c r="AO114" s="44">
        <v>8</v>
      </c>
      <c r="AP114" s="45">
        <v>4</v>
      </c>
      <c r="AQ114" s="45">
        <v>4</v>
      </c>
      <c r="AR114" s="45">
        <v>0</v>
      </c>
      <c r="AS114" s="56">
        <f t="shared" si="34"/>
        <v>16</v>
      </c>
      <c r="AT114" s="44">
        <v>3</v>
      </c>
      <c r="AU114" s="45">
        <v>5</v>
      </c>
      <c r="AV114" s="45">
        <v>8</v>
      </c>
      <c r="AW114" s="45">
        <v>0</v>
      </c>
      <c r="AX114" s="56">
        <f t="shared" si="35"/>
        <v>16</v>
      </c>
      <c r="AY114" s="44">
        <v>1</v>
      </c>
      <c r="AZ114" s="45">
        <v>5</v>
      </c>
      <c r="BA114" s="45">
        <v>11</v>
      </c>
      <c r="BB114" s="45">
        <v>0</v>
      </c>
      <c r="BC114" s="56">
        <f t="shared" si="36"/>
        <v>17</v>
      </c>
      <c r="BD114" s="46">
        <v>0</v>
      </c>
      <c r="BE114" s="46">
        <v>4</v>
      </c>
      <c r="BF114" s="46">
        <v>13</v>
      </c>
      <c r="BG114" s="46">
        <v>0</v>
      </c>
      <c r="BH114" s="56">
        <f t="shared" ref="BH114:BH120" si="38">SUM(BD114:BG114)</f>
        <v>17</v>
      </c>
    </row>
    <row r="115" spans="1:60" x14ac:dyDescent="0.2">
      <c r="A115" s="33" t="s">
        <v>140</v>
      </c>
      <c r="B115" s="13">
        <v>42045</v>
      </c>
      <c r="C115" s="13"/>
      <c r="D115" s="6" t="s">
        <v>106</v>
      </c>
      <c r="E115" s="56"/>
      <c r="F115" s="44"/>
      <c r="G115" s="54"/>
      <c r="H115" s="54"/>
      <c r="I115" s="54"/>
      <c r="J115" s="56"/>
      <c r="K115" s="44">
        <v>20</v>
      </c>
      <c r="L115" s="46">
        <v>0</v>
      </c>
      <c r="M115" s="46">
        <v>0</v>
      </c>
      <c r="N115" s="46">
        <v>0</v>
      </c>
      <c r="O115" s="56">
        <f t="shared" si="28"/>
        <v>20</v>
      </c>
      <c r="P115" s="44">
        <v>19</v>
      </c>
      <c r="Q115" s="46">
        <v>1</v>
      </c>
      <c r="R115" s="46">
        <v>0</v>
      </c>
      <c r="S115" s="46">
        <v>0</v>
      </c>
      <c r="T115" s="56">
        <f t="shared" si="29"/>
        <v>20</v>
      </c>
      <c r="U115" s="44">
        <v>20</v>
      </c>
      <c r="V115" s="46">
        <v>0</v>
      </c>
      <c r="W115" s="46">
        <v>0</v>
      </c>
      <c r="X115" s="46">
        <v>0</v>
      </c>
      <c r="Y115" s="56">
        <f t="shared" si="30"/>
        <v>20</v>
      </c>
      <c r="Z115" s="44">
        <v>18</v>
      </c>
      <c r="AA115" s="46">
        <v>0</v>
      </c>
      <c r="AB115" s="46">
        <v>1</v>
      </c>
      <c r="AC115" s="46">
        <v>0</v>
      </c>
      <c r="AD115" s="56">
        <f t="shared" si="31"/>
        <v>19</v>
      </c>
      <c r="AE115" s="44">
        <v>18</v>
      </c>
      <c r="AF115" s="46">
        <v>0</v>
      </c>
      <c r="AG115" s="46">
        <v>1</v>
      </c>
      <c r="AH115" s="46">
        <v>0</v>
      </c>
      <c r="AI115" s="56">
        <f t="shared" si="32"/>
        <v>19</v>
      </c>
      <c r="AJ115" s="44">
        <v>15</v>
      </c>
      <c r="AK115" s="45">
        <v>1</v>
      </c>
      <c r="AL115" s="45">
        <v>2</v>
      </c>
      <c r="AM115" s="45">
        <v>0</v>
      </c>
      <c r="AN115" s="56">
        <f t="shared" si="33"/>
        <v>18</v>
      </c>
      <c r="AO115" s="44">
        <v>11</v>
      </c>
      <c r="AP115" s="45">
        <v>0</v>
      </c>
      <c r="AQ115" s="45">
        <v>7</v>
      </c>
      <c r="AR115" s="45">
        <v>0</v>
      </c>
      <c r="AS115" s="56">
        <f t="shared" si="34"/>
        <v>18</v>
      </c>
      <c r="AT115" s="44">
        <v>9</v>
      </c>
      <c r="AU115" s="45">
        <v>0</v>
      </c>
      <c r="AV115" s="45">
        <v>7</v>
      </c>
      <c r="AW115" s="45">
        <v>0</v>
      </c>
      <c r="AX115" s="56">
        <f t="shared" si="35"/>
        <v>16</v>
      </c>
      <c r="AY115" s="44">
        <v>4</v>
      </c>
      <c r="AZ115" s="45">
        <v>3</v>
      </c>
      <c r="BA115" s="45">
        <v>7</v>
      </c>
      <c r="BB115" s="45">
        <v>0</v>
      </c>
      <c r="BC115" s="56">
        <f t="shared" si="36"/>
        <v>14</v>
      </c>
      <c r="BD115" s="46">
        <v>3</v>
      </c>
      <c r="BE115" s="46">
        <v>2</v>
      </c>
      <c r="BF115" s="46">
        <v>12</v>
      </c>
      <c r="BG115" s="46">
        <v>0</v>
      </c>
      <c r="BH115" s="56">
        <f t="shared" si="38"/>
        <v>17</v>
      </c>
    </row>
    <row r="116" spans="1:60" x14ac:dyDescent="0.2">
      <c r="A116" s="33" t="s">
        <v>140</v>
      </c>
      <c r="B116" s="13">
        <v>42045</v>
      </c>
      <c r="C116" s="13"/>
      <c r="D116" s="6" t="s">
        <v>107</v>
      </c>
      <c r="E116" s="56"/>
      <c r="F116" s="44"/>
      <c r="G116" s="54"/>
      <c r="H116" s="54"/>
      <c r="I116" s="54"/>
      <c r="J116" s="56"/>
      <c r="K116" s="44">
        <v>18</v>
      </c>
      <c r="L116" s="46">
        <v>0</v>
      </c>
      <c r="M116" s="46">
        <v>1</v>
      </c>
      <c r="N116" s="46">
        <v>0</v>
      </c>
      <c r="O116" s="56">
        <f t="shared" si="28"/>
        <v>19</v>
      </c>
      <c r="P116" s="44">
        <v>18</v>
      </c>
      <c r="Q116" s="46">
        <v>0</v>
      </c>
      <c r="R116" s="46">
        <v>1</v>
      </c>
      <c r="S116" s="46">
        <v>0</v>
      </c>
      <c r="T116" s="56">
        <f t="shared" si="29"/>
        <v>19</v>
      </c>
      <c r="U116" s="44">
        <v>18</v>
      </c>
      <c r="V116" s="46">
        <v>0</v>
      </c>
      <c r="W116" s="46">
        <v>1</v>
      </c>
      <c r="X116" s="46">
        <v>0</v>
      </c>
      <c r="Y116" s="56">
        <f t="shared" si="30"/>
        <v>19</v>
      </c>
      <c r="Z116" s="44">
        <v>16</v>
      </c>
      <c r="AA116" s="46">
        <v>1</v>
      </c>
      <c r="AB116" s="46">
        <v>1</v>
      </c>
      <c r="AC116" s="46">
        <v>0</v>
      </c>
      <c r="AD116" s="56">
        <f t="shared" si="31"/>
        <v>18</v>
      </c>
      <c r="AE116" s="44">
        <v>18</v>
      </c>
      <c r="AF116" s="46">
        <v>0</v>
      </c>
      <c r="AG116" s="46">
        <v>1</v>
      </c>
      <c r="AH116" s="46">
        <v>0</v>
      </c>
      <c r="AI116" s="56">
        <f t="shared" si="32"/>
        <v>19</v>
      </c>
      <c r="AJ116" s="44">
        <v>2</v>
      </c>
      <c r="AK116" s="45">
        <v>6</v>
      </c>
      <c r="AL116" s="45">
        <v>12</v>
      </c>
      <c r="AM116" s="45">
        <v>0</v>
      </c>
      <c r="AN116" s="56">
        <f t="shared" si="33"/>
        <v>20</v>
      </c>
      <c r="AO116" s="44">
        <v>2</v>
      </c>
      <c r="AP116" s="45">
        <v>4</v>
      </c>
      <c r="AQ116" s="45">
        <v>12</v>
      </c>
      <c r="AR116" s="45">
        <v>0</v>
      </c>
      <c r="AS116" s="56">
        <f t="shared" si="34"/>
        <v>18</v>
      </c>
      <c r="AT116" s="44">
        <v>0</v>
      </c>
      <c r="AU116" s="45">
        <v>1</v>
      </c>
      <c r="AV116" s="45">
        <v>18</v>
      </c>
      <c r="AW116" s="45">
        <v>0</v>
      </c>
      <c r="AX116" s="56">
        <f t="shared" si="35"/>
        <v>19</v>
      </c>
      <c r="AY116" s="44">
        <v>0</v>
      </c>
      <c r="AZ116" s="45">
        <v>1</v>
      </c>
      <c r="BA116" s="45">
        <v>16</v>
      </c>
      <c r="BB116" s="45">
        <v>0</v>
      </c>
      <c r="BC116" s="56">
        <f t="shared" si="36"/>
        <v>17</v>
      </c>
      <c r="BD116" s="46">
        <v>1</v>
      </c>
      <c r="BE116" s="46">
        <v>2</v>
      </c>
      <c r="BF116" s="46">
        <v>16</v>
      </c>
      <c r="BG116" s="46">
        <v>0</v>
      </c>
      <c r="BH116" s="56">
        <f t="shared" si="38"/>
        <v>19</v>
      </c>
    </row>
    <row r="117" spans="1:60" x14ac:dyDescent="0.2">
      <c r="A117" s="33" t="s">
        <v>140</v>
      </c>
      <c r="B117" s="13">
        <v>42045</v>
      </c>
      <c r="C117" s="13"/>
      <c r="D117" s="6" t="s">
        <v>108</v>
      </c>
      <c r="E117" s="56"/>
      <c r="F117" s="44"/>
      <c r="G117" s="54"/>
      <c r="H117" s="54"/>
      <c r="I117" s="54"/>
      <c r="J117" s="56"/>
      <c r="K117" s="44">
        <v>20</v>
      </c>
      <c r="L117" s="46">
        <v>0</v>
      </c>
      <c r="M117" s="46">
        <v>0</v>
      </c>
      <c r="N117" s="46">
        <v>0</v>
      </c>
      <c r="O117" s="56">
        <f t="shared" si="28"/>
        <v>20</v>
      </c>
      <c r="P117" s="44">
        <v>19</v>
      </c>
      <c r="Q117" s="46">
        <v>1</v>
      </c>
      <c r="R117" s="46">
        <v>0</v>
      </c>
      <c r="S117" s="46">
        <v>0</v>
      </c>
      <c r="T117" s="56">
        <f t="shared" si="29"/>
        <v>20</v>
      </c>
      <c r="U117" s="44">
        <v>20</v>
      </c>
      <c r="V117" s="46">
        <v>0</v>
      </c>
      <c r="W117" s="46">
        <v>0</v>
      </c>
      <c r="X117" s="46">
        <v>0</v>
      </c>
      <c r="Y117" s="56">
        <f t="shared" si="30"/>
        <v>20</v>
      </c>
      <c r="Z117" s="44">
        <v>18</v>
      </c>
      <c r="AA117" s="46">
        <v>1</v>
      </c>
      <c r="AB117" s="46">
        <v>0</v>
      </c>
      <c r="AC117" s="46">
        <v>0</v>
      </c>
      <c r="AD117" s="56">
        <f t="shared" si="31"/>
        <v>19</v>
      </c>
      <c r="AE117" s="44">
        <v>17</v>
      </c>
      <c r="AF117" s="46">
        <v>0</v>
      </c>
      <c r="AG117" s="46">
        <v>0</v>
      </c>
      <c r="AH117" s="46">
        <v>0</v>
      </c>
      <c r="AI117" s="56">
        <f t="shared" si="32"/>
        <v>17</v>
      </c>
      <c r="AJ117" s="44">
        <v>5</v>
      </c>
      <c r="AK117" s="45">
        <v>6</v>
      </c>
      <c r="AL117" s="45">
        <v>8</v>
      </c>
      <c r="AM117" s="45">
        <v>0</v>
      </c>
      <c r="AN117" s="56">
        <f t="shared" si="33"/>
        <v>19</v>
      </c>
      <c r="AO117" s="44">
        <v>9</v>
      </c>
      <c r="AP117" s="45">
        <v>1</v>
      </c>
      <c r="AQ117" s="45">
        <v>5</v>
      </c>
      <c r="AR117" s="45">
        <v>0</v>
      </c>
      <c r="AS117" s="56">
        <f t="shared" si="34"/>
        <v>15</v>
      </c>
      <c r="AT117" s="44">
        <v>3</v>
      </c>
      <c r="AU117" s="45">
        <v>4</v>
      </c>
      <c r="AV117" s="45">
        <v>5</v>
      </c>
      <c r="AW117" s="45">
        <v>0</v>
      </c>
      <c r="AX117" s="56">
        <f t="shared" si="35"/>
        <v>12</v>
      </c>
      <c r="AY117" s="44">
        <v>3</v>
      </c>
      <c r="AZ117" s="45">
        <v>0</v>
      </c>
      <c r="BA117" s="45">
        <v>9</v>
      </c>
      <c r="BB117" s="45">
        <v>0</v>
      </c>
      <c r="BC117" s="56">
        <f t="shared" si="36"/>
        <v>12</v>
      </c>
      <c r="BD117" s="46">
        <v>0</v>
      </c>
      <c r="BE117" s="46">
        <v>0</v>
      </c>
      <c r="BF117" s="46">
        <v>15</v>
      </c>
      <c r="BG117" s="46">
        <v>0</v>
      </c>
      <c r="BH117" s="56">
        <f t="shared" si="38"/>
        <v>15</v>
      </c>
    </row>
    <row r="118" spans="1:60" x14ac:dyDescent="0.2">
      <c r="A118" s="33" t="s">
        <v>140</v>
      </c>
      <c r="B118" s="13">
        <v>42045</v>
      </c>
      <c r="C118" s="13"/>
      <c r="D118" s="6" t="s">
        <v>109</v>
      </c>
      <c r="E118" s="56"/>
      <c r="F118" s="44"/>
      <c r="G118" s="54"/>
      <c r="H118" s="54"/>
      <c r="I118" s="54"/>
      <c r="J118" s="56"/>
      <c r="K118" s="44">
        <v>19</v>
      </c>
      <c r="L118" s="46">
        <v>0</v>
      </c>
      <c r="M118" s="46">
        <v>0</v>
      </c>
      <c r="N118" s="46">
        <v>0</v>
      </c>
      <c r="O118" s="56">
        <f t="shared" si="28"/>
        <v>19</v>
      </c>
      <c r="P118" s="44">
        <v>19</v>
      </c>
      <c r="Q118" s="46">
        <v>0</v>
      </c>
      <c r="R118" s="46">
        <v>0</v>
      </c>
      <c r="S118" s="46">
        <v>0</v>
      </c>
      <c r="T118" s="56">
        <f t="shared" si="29"/>
        <v>19</v>
      </c>
      <c r="U118" s="44">
        <v>19</v>
      </c>
      <c r="V118" s="46">
        <v>0</v>
      </c>
      <c r="W118" s="46">
        <v>0</v>
      </c>
      <c r="X118" s="46">
        <v>0</v>
      </c>
      <c r="Y118" s="56">
        <f t="shared" si="30"/>
        <v>19</v>
      </c>
      <c r="Z118" s="44">
        <v>17</v>
      </c>
      <c r="AA118" s="46">
        <v>0</v>
      </c>
      <c r="AB118" s="46">
        <v>1</v>
      </c>
      <c r="AC118" s="46">
        <v>0</v>
      </c>
      <c r="AD118" s="56">
        <f t="shared" si="31"/>
        <v>18</v>
      </c>
      <c r="AE118" s="44">
        <v>16</v>
      </c>
      <c r="AF118" s="46">
        <v>2</v>
      </c>
      <c r="AG118" s="46">
        <v>0</v>
      </c>
      <c r="AH118" s="46">
        <v>0</v>
      </c>
      <c r="AI118" s="56">
        <f t="shared" si="32"/>
        <v>18</v>
      </c>
      <c r="AJ118" s="44">
        <v>7</v>
      </c>
      <c r="AK118" s="45">
        <v>5</v>
      </c>
      <c r="AL118" s="45">
        <v>5</v>
      </c>
      <c r="AM118" s="45">
        <v>0</v>
      </c>
      <c r="AN118" s="56">
        <f t="shared" si="33"/>
        <v>17</v>
      </c>
      <c r="AO118" s="44">
        <v>3</v>
      </c>
      <c r="AP118" s="45">
        <v>5</v>
      </c>
      <c r="AQ118" s="45">
        <v>5</v>
      </c>
      <c r="AR118" s="45">
        <v>0</v>
      </c>
      <c r="AS118" s="56">
        <f t="shared" si="34"/>
        <v>13</v>
      </c>
      <c r="AT118" s="44">
        <v>1</v>
      </c>
      <c r="AU118" s="45">
        <v>4</v>
      </c>
      <c r="AV118" s="45">
        <v>8</v>
      </c>
      <c r="AW118" s="45">
        <v>0</v>
      </c>
      <c r="AX118" s="56">
        <f t="shared" si="35"/>
        <v>13</v>
      </c>
      <c r="AY118" s="44">
        <v>0</v>
      </c>
      <c r="AZ118" s="45">
        <v>2</v>
      </c>
      <c r="BA118" s="45">
        <v>9</v>
      </c>
      <c r="BB118" s="45">
        <v>0</v>
      </c>
      <c r="BC118" s="56">
        <f t="shared" si="36"/>
        <v>11</v>
      </c>
      <c r="BD118" s="46">
        <v>0</v>
      </c>
      <c r="BE118" s="46">
        <v>2</v>
      </c>
      <c r="BF118" s="46">
        <v>11</v>
      </c>
      <c r="BG118" s="46">
        <v>0</v>
      </c>
      <c r="BH118" s="56">
        <f t="shared" si="38"/>
        <v>13</v>
      </c>
    </row>
    <row r="119" spans="1:60" x14ac:dyDescent="0.2">
      <c r="A119" s="33" t="s">
        <v>140</v>
      </c>
      <c r="B119" s="13">
        <v>42052</v>
      </c>
      <c r="C119" s="13"/>
      <c r="D119" s="6" t="s">
        <v>110</v>
      </c>
      <c r="E119" s="56"/>
      <c r="F119" s="46"/>
      <c r="G119" s="54"/>
      <c r="H119" s="54"/>
      <c r="I119" s="54"/>
      <c r="J119" s="56"/>
      <c r="K119" s="44">
        <v>17</v>
      </c>
      <c r="L119" s="46">
        <v>2</v>
      </c>
      <c r="M119" s="46">
        <v>1</v>
      </c>
      <c r="N119" s="46">
        <v>0</v>
      </c>
      <c r="O119" s="56">
        <f t="shared" si="28"/>
        <v>20</v>
      </c>
      <c r="P119" s="44">
        <v>14</v>
      </c>
      <c r="Q119" s="46">
        <v>4</v>
      </c>
      <c r="R119" s="46">
        <v>2</v>
      </c>
      <c r="S119" s="46">
        <v>0</v>
      </c>
      <c r="T119" s="56">
        <f t="shared" si="29"/>
        <v>20</v>
      </c>
      <c r="U119" s="44">
        <v>11</v>
      </c>
      <c r="V119" s="46">
        <v>2</v>
      </c>
      <c r="W119" s="46">
        <v>5</v>
      </c>
      <c r="X119" s="46">
        <v>0</v>
      </c>
      <c r="Y119" s="56">
        <f t="shared" si="30"/>
        <v>18</v>
      </c>
      <c r="Z119" s="44">
        <v>10</v>
      </c>
      <c r="AA119" s="45">
        <v>3</v>
      </c>
      <c r="AB119" s="45">
        <v>3</v>
      </c>
      <c r="AC119" s="45">
        <v>0</v>
      </c>
      <c r="AD119" s="56">
        <f t="shared" si="31"/>
        <v>16</v>
      </c>
      <c r="AE119" s="44">
        <v>5</v>
      </c>
      <c r="AF119" s="45">
        <v>4</v>
      </c>
      <c r="AG119" s="45">
        <v>6</v>
      </c>
      <c r="AH119" s="45">
        <v>0</v>
      </c>
      <c r="AI119" s="56">
        <f t="shared" si="32"/>
        <v>15</v>
      </c>
      <c r="AJ119" s="44">
        <v>0</v>
      </c>
      <c r="AK119" s="45">
        <v>2</v>
      </c>
      <c r="AL119" s="45">
        <v>13</v>
      </c>
      <c r="AM119" s="45">
        <v>0</v>
      </c>
      <c r="AN119" s="56">
        <f t="shared" si="33"/>
        <v>15</v>
      </c>
      <c r="AO119" s="44">
        <v>0</v>
      </c>
      <c r="AP119" s="45">
        <v>1</v>
      </c>
      <c r="AQ119" s="45">
        <v>16</v>
      </c>
      <c r="AR119" s="45">
        <v>0</v>
      </c>
      <c r="AS119" s="56">
        <f t="shared" si="34"/>
        <v>17</v>
      </c>
      <c r="AT119" s="44">
        <v>0</v>
      </c>
      <c r="AU119" s="45">
        <v>1</v>
      </c>
      <c r="AV119" s="45">
        <v>10</v>
      </c>
      <c r="AW119" s="45">
        <v>0</v>
      </c>
      <c r="AX119" s="56">
        <f t="shared" si="35"/>
        <v>11</v>
      </c>
      <c r="AY119" s="44">
        <v>0</v>
      </c>
      <c r="AZ119" s="45">
        <v>0</v>
      </c>
      <c r="BA119" s="45">
        <v>13</v>
      </c>
      <c r="BB119" s="45">
        <v>0</v>
      </c>
      <c r="BC119" s="56">
        <f t="shared" si="36"/>
        <v>13</v>
      </c>
      <c r="BD119" s="46"/>
      <c r="BE119" s="46"/>
      <c r="BF119" s="46"/>
      <c r="BG119" s="46"/>
      <c r="BH119" s="56">
        <f t="shared" si="38"/>
        <v>0</v>
      </c>
    </row>
    <row r="120" spans="1:60" x14ac:dyDescent="0.2">
      <c r="A120" s="33" t="s">
        <v>140</v>
      </c>
      <c r="B120" s="13">
        <v>42052</v>
      </c>
      <c r="C120" s="13"/>
      <c r="D120" s="6" t="s">
        <v>111</v>
      </c>
      <c r="E120" s="56"/>
      <c r="F120" s="46"/>
      <c r="G120" s="54"/>
      <c r="H120" s="54"/>
      <c r="I120" s="54"/>
      <c r="J120" s="56"/>
      <c r="K120" s="44">
        <v>18</v>
      </c>
      <c r="L120" s="46">
        <v>1</v>
      </c>
      <c r="M120" s="46">
        <v>1</v>
      </c>
      <c r="N120" s="46">
        <v>0</v>
      </c>
      <c r="O120" s="56">
        <f t="shared" si="28"/>
        <v>20</v>
      </c>
      <c r="P120" s="44">
        <v>12</v>
      </c>
      <c r="Q120" s="46">
        <v>4</v>
      </c>
      <c r="R120" s="46">
        <v>4</v>
      </c>
      <c r="S120" s="46">
        <v>0</v>
      </c>
      <c r="T120" s="56">
        <f t="shared" si="29"/>
        <v>20</v>
      </c>
      <c r="U120" s="44">
        <v>8</v>
      </c>
      <c r="V120" s="46">
        <v>3</v>
      </c>
      <c r="W120" s="46">
        <v>4</v>
      </c>
      <c r="X120" s="46">
        <v>0</v>
      </c>
      <c r="Y120" s="56">
        <f t="shared" si="30"/>
        <v>15</v>
      </c>
      <c r="Z120" s="44">
        <v>8</v>
      </c>
      <c r="AA120" s="45">
        <v>1</v>
      </c>
      <c r="AB120" s="45">
        <v>4</v>
      </c>
      <c r="AC120" s="45">
        <v>0</v>
      </c>
      <c r="AD120" s="56">
        <f t="shared" si="31"/>
        <v>13</v>
      </c>
      <c r="AE120" s="44">
        <v>6</v>
      </c>
      <c r="AF120" s="45">
        <v>1</v>
      </c>
      <c r="AG120" s="45">
        <v>4</v>
      </c>
      <c r="AH120" s="45">
        <v>0</v>
      </c>
      <c r="AI120" s="56">
        <f t="shared" si="32"/>
        <v>11</v>
      </c>
      <c r="AJ120" s="44">
        <v>7</v>
      </c>
      <c r="AK120" s="45">
        <v>3</v>
      </c>
      <c r="AL120" s="45">
        <v>4</v>
      </c>
      <c r="AM120" s="45">
        <v>0</v>
      </c>
      <c r="AN120" s="56">
        <f t="shared" si="33"/>
        <v>14</v>
      </c>
      <c r="AO120" s="44">
        <v>0</v>
      </c>
      <c r="AP120" s="45">
        <v>2</v>
      </c>
      <c r="AQ120" s="45">
        <v>12</v>
      </c>
      <c r="AR120" s="45">
        <v>0</v>
      </c>
      <c r="AS120" s="56">
        <f t="shared" si="34"/>
        <v>14</v>
      </c>
      <c r="AT120" s="44">
        <v>0</v>
      </c>
      <c r="AU120" s="45">
        <v>0</v>
      </c>
      <c r="AV120" s="45">
        <v>11</v>
      </c>
      <c r="AW120" s="45">
        <v>0</v>
      </c>
      <c r="AX120" s="56">
        <f t="shared" si="35"/>
        <v>11</v>
      </c>
      <c r="AY120" s="44">
        <v>0</v>
      </c>
      <c r="AZ120" s="45">
        <v>1</v>
      </c>
      <c r="BA120" s="45">
        <v>10</v>
      </c>
      <c r="BB120" s="45">
        <v>0</v>
      </c>
      <c r="BC120" s="56">
        <f t="shared" si="36"/>
        <v>11</v>
      </c>
      <c r="BD120" s="46"/>
      <c r="BE120" s="46"/>
      <c r="BF120" s="46"/>
      <c r="BG120" s="46"/>
      <c r="BH120" s="56">
        <f t="shared" si="38"/>
        <v>0</v>
      </c>
    </row>
    <row r="121" spans="1:60" x14ac:dyDescent="0.2">
      <c r="D121" s="16" t="s">
        <v>23</v>
      </c>
      <c r="E121" s="36" t="e">
        <f>AVERAGE(E107:E112)</f>
        <v>#DIV/0!</v>
      </c>
      <c r="F121" s="18"/>
      <c r="G121" s="18"/>
      <c r="H121" s="18"/>
      <c r="I121" s="18"/>
      <c r="J121" s="36"/>
      <c r="K121" s="18"/>
      <c r="L121" s="18"/>
      <c r="M121" s="18"/>
      <c r="N121" s="18"/>
      <c r="O121" s="36">
        <f>AVERAGE(O107:O120)</f>
        <v>18.428571428571427</v>
      </c>
      <c r="P121" s="18"/>
      <c r="Q121" s="18"/>
      <c r="R121" s="18"/>
      <c r="S121" s="18"/>
      <c r="T121" s="36">
        <f>AVERAGE(T107:T120)</f>
        <v>18.285714285714285</v>
      </c>
      <c r="U121" s="18"/>
      <c r="V121" s="18"/>
      <c r="W121" s="18"/>
      <c r="X121" s="18"/>
      <c r="Y121" s="36">
        <f>AVERAGE(Y107:Y120)</f>
        <v>17.785714285714285</v>
      </c>
      <c r="Z121" s="18"/>
      <c r="AA121" s="18"/>
      <c r="AB121" s="18"/>
      <c r="AC121" s="18"/>
      <c r="AD121" s="36">
        <f>AVERAGE(AD107:AD120)</f>
        <v>17.214285714285715</v>
      </c>
      <c r="AE121" s="18"/>
      <c r="AF121" s="18"/>
      <c r="AG121" s="18"/>
      <c r="AH121" s="18"/>
      <c r="AI121" s="36">
        <f>AVERAGE(AI107:AI120)</f>
        <v>17.071428571428573</v>
      </c>
      <c r="AJ121" s="18"/>
      <c r="AK121" s="18"/>
      <c r="AL121" s="18"/>
      <c r="AM121" s="18"/>
      <c r="AN121" s="36">
        <f>AVERAGE(AN107:AN120)</f>
        <v>17.214285714285715</v>
      </c>
      <c r="AO121" s="18"/>
      <c r="AP121" s="18"/>
      <c r="AQ121" s="18"/>
      <c r="AR121" s="18"/>
      <c r="AS121" s="36">
        <f>AVERAGE(AS107:AS120)</f>
        <v>16.285714285714285</v>
      </c>
      <c r="AT121" s="18"/>
      <c r="AU121" s="18"/>
      <c r="AV121" s="18"/>
      <c r="AW121" s="18"/>
      <c r="AX121" s="36">
        <f>AVERAGE(AX107:AX120)</f>
        <v>14.714285714285714</v>
      </c>
      <c r="AY121" s="18"/>
      <c r="AZ121" s="18"/>
      <c r="BA121" s="18"/>
      <c r="BB121" s="18"/>
      <c r="BC121" s="36">
        <f>AVERAGE(BC107:BC120)</f>
        <v>13.214285714285714</v>
      </c>
      <c r="BD121" s="18"/>
      <c r="BE121" s="18"/>
      <c r="BF121" s="18"/>
      <c r="BG121" s="18"/>
      <c r="BH121" s="63">
        <f>AVERAGE(BH107:BH120)</f>
        <v>7.0714285714285712</v>
      </c>
    </row>
    <row r="122" spans="1:60" x14ac:dyDescent="0.2">
      <c r="A122" s="60"/>
      <c r="B122" s="60"/>
      <c r="C122" s="60"/>
      <c r="D122" s="61" t="s">
        <v>14</v>
      </c>
      <c r="E122" s="62"/>
      <c r="F122" s="61"/>
      <c r="G122" s="61"/>
      <c r="H122" s="61"/>
      <c r="I122" s="61"/>
      <c r="J122" s="62"/>
      <c r="K122" s="61"/>
      <c r="L122" s="61"/>
      <c r="M122" s="61"/>
      <c r="N122" s="61"/>
      <c r="O122" s="62">
        <f>SUM(O107:O120)</f>
        <v>258</v>
      </c>
      <c r="P122" s="61"/>
      <c r="Q122" s="61"/>
      <c r="R122" s="61"/>
      <c r="S122" s="61"/>
      <c r="T122" s="61">
        <f>SUM(T107:T120)</f>
        <v>256</v>
      </c>
      <c r="U122" s="37"/>
      <c r="V122" s="61"/>
      <c r="W122" s="61"/>
      <c r="X122" s="61"/>
      <c r="Y122" s="61">
        <f>SUM(Y107:Y120)</f>
        <v>249</v>
      </c>
      <c r="Z122" s="61"/>
      <c r="AA122" s="61"/>
      <c r="AB122" s="61"/>
      <c r="AC122" s="61"/>
      <c r="AD122" s="61">
        <f>SUM(AD107:AD120)</f>
        <v>241</v>
      </c>
      <c r="AE122" s="61"/>
      <c r="AF122" s="61"/>
      <c r="AG122" s="61"/>
      <c r="AH122" s="61"/>
      <c r="AI122" s="62">
        <f>SUM(AI107:AI120)</f>
        <v>239</v>
      </c>
      <c r="AJ122" s="61"/>
      <c r="AK122" s="61"/>
      <c r="AL122" s="61"/>
      <c r="AM122" s="61"/>
      <c r="AN122" s="62">
        <f>SUM(AN107:AN120)</f>
        <v>241</v>
      </c>
      <c r="AO122" s="61"/>
      <c r="AP122" s="61"/>
      <c r="AQ122" s="61"/>
      <c r="AR122" s="61"/>
      <c r="AS122" s="61">
        <f>SUM(AS107:AS120)</f>
        <v>228</v>
      </c>
      <c r="AT122" s="37"/>
      <c r="AU122" s="61"/>
      <c r="AV122" s="61"/>
      <c r="AW122" s="61"/>
      <c r="AX122" s="61">
        <f>SUM(AX107:AX120)</f>
        <v>206</v>
      </c>
      <c r="AY122" s="61"/>
      <c r="AZ122" s="61"/>
      <c r="BA122" s="61"/>
      <c r="BB122" s="61"/>
      <c r="BC122" s="61">
        <f>SUM(BC107:BC120)</f>
        <v>185</v>
      </c>
      <c r="BD122" s="61"/>
      <c r="BE122" s="61"/>
      <c r="BF122" s="61"/>
      <c r="BG122" s="61"/>
      <c r="BH122" s="61">
        <f>SUM(BH107:BH120)</f>
        <v>99</v>
      </c>
    </row>
    <row r="125" spans="1:60" x14ac:dyDescent="0.2">
      <c r="I125">
        <v>1</v>
      </c>
      <c r="J125" s="6" t="s">
        <v>97</v>
      </c>
      <c r="K125">
        <f t="shared" ref="K125:K138" si="39">SUM(K107,L107)</f>
        <v>17</v>
      </c>
      <c r="L125" s="33">
        <f t="shared" ref="L125:L138" si="40">SUM(M107,N107)</f>
        <v>0</v>
      </c>
      <c r="R125" s="33"/>
      <c r="AG125" s="33"/>
    </row>
    <row r="126" spans="1:60" x14ac:dyDescent="0.2">
      <c r="I126" s="33">
        <v>1</v>
      </c>
      <c r="J126" s="6" t="s">
        <v>98</v>
      </c>
      <c r="K126" s="33">
        <f t="shared" si="39"/>
        <v>18</v>
      </c>
      <c r="L126" s="33">
        <f t="shared" si="40"/>
        <v>0</v>
      </c>
      <c r="R126" s="33"/>
      <c r="AG126" s="33"/>
    </row>
    <row r="127" spans="1:60" x14ac:dyDescent="0.2">
      <c r="I127" s="33">
        <v>1</v>
      </c>
      <c r="J127" s="6" t="s">
        <v>99</v>
      </c>
      <c r="K127" s="33">
        <f t="shared" si="39"/>
        <v>18</v>
      </c>
      <c r="L127" s="33">
        <f t="shared" si="40"/>
        <v>0</v>
      </c>
      <c r="R127" s="33"/>
      <c r="AG127" s="33"/>
    </row>
    <row r="128" spans="1:60" x14ac:dyDescent="0.2">
      <c r="I128" s="33">
        <v>1</v>
      </c>
      <c r="J128" s="6" t="s">
        <v>101</v>
      </c>
      <c r="K128" s="33">
        <f t="shared" si="39"/>
        <v>16</v>
      </c>
      <c r="L128" s="33">
        <f t="shared" si="40"/>
        <v>0</v>
      </c>
      <c r="R128" s="33"/>
      <c r="AG128" s="33"/>
    </row>
    <row r="129" spans="9:33" x14ac:dyDescent="0.2">
      <c r="I129" s="33">
        <v>1</v>
      </c>
      <c r="J129" s="6" t="s">
        <v>102</v>
      </c>
      <c r="K129" s="33">
        <f t="shared" si="39"/>
        <v>20</v>
      </c>
      <c r="L129" s="33">
        <f t="shared" si="40"/>
        <v>0</v>
      </c>
      <c r="R129" s="33"/>
      <c r="AG129" s="33"/>
    </row>
    <row r="130" spans="9:33" x14ac:dyDescent="0.2">
      <c r="I130" s="33">
        <v>1</v>
      </c>
      <c r="J130" s="6" t="s">
        <v>103</v>
      </c>
      <c r="K130" s="33">
        <f t="shared" si="39"/>
        <v>14</v>
      </c>
      <c r="L130" s="33">
        <f t="shared" si="40"/>
        <v>0</v>
      </c>
      <c r="R130" s="33"/>
      <c r="AG130" s="33"/>
    </row>
    <row r="131" spans="9:33" x14ac:dyDescent="0.2">
      <c r="I131" s="33">
        <v>1</v>
      </c>
      <c r="J131" s="6" t="s">
        <v>104</v>
      </c>
      <c r="K131" s="33">
        <f t="shared" si="39"/>
        <v>19</v>
      </c>
      <c r="L131" s="33">
        <f t="shared" si="40"/>
        <v>0</v>
      </c>
      <c r="R131" s="33"/>
      <c r="AG131" s="33"/>
    </row>
    <row r="132" spans="9:33" x14ac:dyDescent="0.2">
      <c r="I132" s="33">
        <v>1</v>
      </c>
      <c r="J132" s="6" t="s">
        <v>105</v>
      </c>
      <c r="K132" s="33">
        <f t="shared" si="39"/>
        <v>18</v>
      </c>
      <c r="L132" s="33">
        <f t="shared" si="40"/>
        <v>0</v>
      </c>
      <c r="R132" s="33"/>
      <c r="AG132" s="33"/>
    </row>
    <row r="133" spans="9:33" x14ac:dyDescent="0.2">
      <c r="I133" s="33">
        <v>1</v>
      </c>
      <c r="J133" s="6" t="s">
        <v>106</v>
      </c>
      <c r="K133" s="33">
        <f t="shared" si="39"/>
        <v>20</v>
      </c>
      <c r="L133" s="33">
        <f t="shared" si="40"/>
        <v>0</v>
      </c>
      <c r="R133" s="33"/>
      <c r="AG133" s="33"/>
    </row>
    <row r="134" spans="9:33" x14ac:dyDescent="0.2">
      <c r="I134" s="33">
        <v>1</v>
      </c>
      <c r="J134" s="6" t="s">
        <v>107</v>
      </c>
      <c r="K134" s="33">
        <f t="shared" si="39"/>
        <v>18</v>
      </c>
      <c r="L134" s="33">
        <f t="shared" si="40"/>
        <v>1</v>
      </c>
      <c r="R134" s="33"/>
      <c r="AG134" s="33"/>
    </row>
    <row r="135" spans="9:33" x14ac:dyDescent="0.2">
      <c r="I135" s="33">
        <v>1</v>
      </c>
      <c r="J135" s="6" t="s">
        <v>108</v>
      </c>
      <c r="K135" s="33">
        <f t="shared" si="39"/>
        <v>20</v>
      </c>
      <c r="L135" s="33">
        <f t="shared" si="40"/>
        <v>0</v>
      </c>
      <c r="R135" s="33"/>
      <c r="AG135" s="33"/>
    </row>
    <row r="136" spans="9:33" x14ac:dyDescent="0.2">
      <c r="I136" s="33">
        <v>1</v>
      </c>
      <c r="J136" s="6" t="s">
        <v>109</v>
      </c>
      <c r="K136" s="33">
        <f t="shared" si="39"/>
        <v>19</v>
      </c>
      <c r="L136" s="33">
        <f t="shared" si="40"/>
        <v>0</v>
      </c>
      <c r="AG136" s="33"/>
    </row>
    <row r="137" spans="9:33" x14ac:dyDescent="0.2">
      <c r="I137" s="33">
        <v>1</v>
      </c>
      <c r="J137" s="6" t="s">
        <v>110</v>
      </c>
      <c r="K137" s="33">
        <f t="shared" si="39"/>
        <v>19</v>
      </c>
      <c r="L137" s="33">
        <f t="shared" si="40"/>
        <v>1</v>
      </c>
      <c r="AG137" s="33"/>
    </row>
    <row r="138" spans="9:33" x14ac:dyDescent="0.2">
      <c r="I138" s="33">
        <v>1</v>
      </c>
      <c r="J138" s="6" t="s">
        <v>111</v>
      </c>
      <c r="K138" s="33">
        <f t="shared" si="39"/>
        <v>19</v>
      </c>
      <c r="L138" s="33">
        <f t="shared" si="40"/>
        <v>1</v>
      </c>
      <c r="AG138" s="33"/>
    </row>
    <row r="139" spans="9:33" x14ac:dyDescent="0.2">
      <c r="I139">
        <v>2</v>
      </c>
      <c r="J139" s="6" t="s">
        <v>97</v>
      </c>
      <c r="K139" s="33">
        <f t="shared" ref="K139:K152" si="41">SUM(P107,Q107)</f>
        <v>18</v>
      </c>
      <c r="L139" s="33">
        <f t="shared" ref="L139:L152" si="42">SUM(R107,S107)</f>
        <v>0</v>
      </c>
      <c r="N139" s="33"/>
    </row>
    <row r="140" spans="9:33" x14ac:dyDescent="0.2">
      <c r="I140" s="33">
        <v>2</v>
      </c>
      <c r="J140" s="6" t="s">
        <v>98</v>
      </c>
      <c r="K140" s="33">
        <f t="shared" si="41"/>
        <v>18</v>
      </c>
      <c r="L140" s="33">
        <f t="shared" si="42"/>
        <v>0</v>
      </c>
      <c r="N140" s="33"/>
    </row>
    <row r="141" spans="9:33" x14ac:dyDescent="0.2">
      <c r="I141" s="33">
        <v>2</v>
      </c>
      <c r="J141" s="6" t="s">
        <v>99</v>
      </c>
      <c r="K141" s="33">
        <f t="shared" si="41"/>
        <v>18</v>
      </c>
      <c r="L141" s="33">
        <f t="shared" si="42"/>
        <v>0</v>
      </c>
      <c r="N141" s="33"/>
    </row>
    <row r="142" spans="9:33" x14ac:dyDescent="0.2">
      <c r="I142" s="33">
        <v>2</v>
      </c>
      <c r="J142" s="6" t="s">
        <v>101</v>
      </c>
      <c r="K142" s="33">
        <f t="shared" si="41"/>
        <v>16</v>
      </c>
      <c r="L142" s="33">
        <f t="shared" si="42"/>
        <v>0</v>
      </c>
      <c r="N142" s="33"/>
    </row>
    <row r="143" spans="9:33" x14ac:dyDescent="0.2">
      <c r="I143" s="33">
        <v>2</v>
      </c>
      <c r="J143" s="6" t="s">
        <v>102</v>
      </c>
      <c r="K143" s="33">
        <f t="shared" si="41"/>
        <v>16</v>
      </c>
      <c r="L143" s="33">
        <f t="shared" si="42"/>
        <v>3</v>
      </c>
      <c r="N143" s="33"/>
    </row>
    <row r="144" spans="9:33" x14ac:dyDescent="0.2">
      <c r="I144" s="33">
        <v>2</v>
      </c>
      <c r="J144" s="6" t="s">
        <v>103</v>
      </c>
      <c r="K144" s="33">
        <f t="shared" si="41"/>
        <v>14</v>
      </c>
      <c r="L144" s="33">
        <f t="shared" si="42"/>
        <v>0</v>
      </c>
    </row>
    <row r="145" spans="9:33" x14ac:dyDescent="0.2">
      <c r="I145" s="33">
        <v>2</v>
      </c>
      <c r="J145" s="6" t="s">
        <v>104</v>
      </c>
      <c r="K145" s="33">
        <f t="shared" si="41"/>
        <v>18</v>
      </c>
      <c r="L145" s="33">
        <f t="shared" si="42"/>
        <v>0</v>
      </c>
    </row>
    <row r="146" spans="9:33" x14ac:dyDescent="0.2">
      <c r="I146" s="33">
        <v>2</v>
      </c>
      <c r="J146" s="6" t="s">
        <v>105</v>
      </c>
      <c r="K146" s="33">
        <f t="shared" si="41"/>
        <v>17</v>
      </c>
      <c r="L146" s="33">
        <f t="shared" si="42"/>
        <v>0</v>
      </c>
    </row>
    <row r="147" spans="9:33" x14ac:dyDescent="0.2">
      <c r="I147" s="33">
        <v>2</v>
      </c>
      <c r="J147" s="6" t="s">
        <v>106</v>
      </c>
      <c r="K147" s="33">
        <f t="shared" si="41"/>
        <v>20</v>
      </c>
      <c r="L147" s="33">
        <f t="shared" si="42"/>
        <v>0</v>
      </c>
    </row>
    <row r="148" spans="9:33" x14ac:dyDescent="0.2">
      <c r="I148" s="33">
        <v>2</v>
      </c>
      <c r="J148" s="6" t="s">
        <v>107</v>
      </c>
      <c r="K148" s="33">
        <f t="shared" si="41"/>
        <v>18</v>
      </c>
      <c r="L148" s="33">
        <f t="shared" si="42"/>
        <v>1</v>
      </c>
    </row>
    <row r="149" spans="9:33" x14ac:dyDescent="0.2">
      <c r="I149" s="33">
        <v>2</v>
      </c>
      <c r="J149" s="6" t="s">
        <v>108</v>
      </c>
      <c r="K149" s="33">
        <f t="shared" si="41"/>
        <v>20</v>
      </c>
      <c r="L149" s="33">
        <f t="shared" si="42"/>
        <v>0</v>
      </c>
    </row>
    <row r="150" spans="9:33" x14ac:dyDescent="0.2">
      <c r="I150" s="33">
        <v>2</v>
      </c>
      <c r="J150" s="6" t="s">
        <v>109</v>
      </c>
      <c r="K150" s="33">
        <f t="shared" si="41"/>
        <v>19</v>
      </c>
      <c r="L150" s="33">
        <f t="shared" si="42"/>
        <v>0</v>
      </c>
    </row>
    <row r="151" spans="9:33" x14ac:dyDescent="0.2">
      <c r="I151" s="33">
        <v>2</v>
      </c>
      <c r="J151" s="6" t="s">
        <v>110</v>
      </c>
      <c r="K151" s="33">
        <f t="shared" si="41"/>
        <v>18</v>
      </c>
      <c r="L151" s="33">
        <f t="shared" si="42"/>
        <v>2</v>
      </c>
    </row>
    <row r="152" spans="9:33" x14ac:dyDescent="0.2">
      <c r="I152" s="33">
        <v>2</v>
      </c>
      <c r="J152" s="6" t="s">
        <v>111</v>
      </c>
      <c r="K152" s="33">
        <f t="shared" si="41"/>
        <v>16</v>
      </c>
      <c r="L152" s="33">
        <f t="shared" si="42"/>
        <v>4</v>
      </c>
    </row>
    <row r="153" spans="9:33" x14ac:dyDescent="0.2">
      <c r="I153">
        <v>3</v>
      </c>
      <c r="J153" s="6" t="s">
        <v>97</v>
      </c>
      <c r="K153" s="33">
        <f t="shared" ref="K153:K166" si="43">SUM(U107,V107)</f>
        <v>17</v>
      </c>
      <c r="L153" s="33">
        <f t="shared" ref="L153:L166" si="44">SUM(W107,X107)</f>
        <v>1</v>
      </c>
      <c r="AG153" s="33"/>
    </row>
    <row r="154" spans="9:33" x14ac:dyDescent="0.2">
      <c r="I154" s="33">
        <v>3</v>
      </c>
      <c r="J154" s="6" t="s">
        <v>98</v>
      </c>
      <c r="K154" s="33">
        <f t="shared" si="43"/>
        <v>15</v>
      </c>
      <c r="L154" s="33">
        <f t="shared" si="44"/>
        <v>3</v>
      </c>
      <c r="AG154" s="33"/>
    </row>
    <row r="155" spans="9:33" x14ac:dyDescent="0.2">
      <c r="I155" s="33">
        <v>3</v>
      </c>
      <c r="J155" s="6" t="s">
        <v>99</v>
      </c>
      <c r="K155" s="33">
        <f t="shared" si="43"/>
        <v>17</v>
      </c>
      <c r="L155" s="33">
        <f t="shared" si="44"/>
        <v>0</v>
      </c>
      <c r="AG155" s="33"/>
    </row>
    <row r="156" spans="9:33" x14ac:dyDescent="0.2">
      <c r="I156" s="33">
        <v>3</v>
      </c>
      <c r="J156" s="6" t="s">
        <v>101</v>
      </c>
      <c r="K156" s="33">
        <f t="shared" si="43"/>
        <v>16</v>
      </c>
      <c r="L156" s="33">
        <f t="shared" si="44"/>
        <v>1</v>
      </c>
      <c r="AG156" s="33"/>
    </row>
    <row r="157" spans="9:33" x14ac:dyDescent="0.2">
      <c r="I157" s="33">
        <v>3</v>
      </c>
      <c r="J157" s="6" t="s">
        <v>102</v>
      </c>
      <c r="K157" s="33">
        <f t="shared" si="43"/>
        <v>4</v>
      </c>
      <c r="L157" s="33">
        <f t="shared" si="44"/>
        <v>16</v>
      </c>
      <c r="AG157" s="33"/>
    </row>
    <row r="158" spans="9:33" x14ac:dyDescent="0.2">
      <c r="I158" s="33">
        <v>3</v>
      </c>
      <c r="J158" s="6" t="s">
        <v>103</v>
      </c>
      <c r="K158" s="33">
        <f t="shared" si="43"/>
        <v>13</v>
      </c>
      <c r="L158" s="33">
        <f t="shared" si="44"/>
        <v>0</v>
      </c>
      <c r="AG158" s="33"/>
    </row>
    <row r="159" spans="9:33" x14ac:dyDescent="0.2">
      <c r="I159" s="33">
        <v>3</v>
      </c>
      <c r="J159" s="6" t="s">
        <v>104</v>
      </c>
      <c r="K159" s="33">
        <f t="shared" si="43"/>
        <v>17</v>
      </c>
      <c r="L159" s="33">
        <f t="shared" si="44"/>
        <v>1</v>
      </c>
      <c r="AG159" s="33"/>
    </row>
    <row r="160" spans="9:33" x14ac:dyDescent="0.2">
      <c r="I160" s="33">
        <v>3</v>
      </c>
      <c r="J160" s="6" t="s">
        <v>105</v>
      </c>
      <c r="K160" s="33">
        <f t="shared" si="43"/>
        <v>15</v>
      </c>
      <c r="L160" s="33">
        <f t="shared" si="44"/>
        <v>2</v>
      </c>
      <c r="AG160" s="33"/>
    </row>
    <row r="161" spans="9:33" x14ac:dyDescent="0.2">
      <c r="I161" s="33">
        <v>3</v>
      </c>
      <c r="J161" s="6" t="s">
        <v>106</v>
      </c>
      <c r="K161" s="33">
        <f t="shared" si="43"/>
        <v>20</v>
      </c>
      <c r="L161" s="33">
        <f t="shared" si="44"/>
        <v>0</v>
      </c>
      <c r="AG161" s="33"/>
    </row>
    <row r="162" spans="9:33" x14ac:dyDescent="0.2">
      <c r="I162" s="33">
        <v>3</v>
      </c>
      <c r="J162" s="6" t="s">
        <v>107</v>
      </c>
      <c r="K162" s="33">
        <f t="shared" si="43"/>
        <v>18</v>
      </c>
      <c r="L162" s="33">
        <f t="shared" si="44"/>
        <v>1</v>
      </c>
      <c r="AG162" s="33"/>
    </row>
    <row r="163" spans="9:33" x14ac:dyDescent="0.2">
      <c r="I163" s="33">
        <v>3</v>
      </c>
      <c r="J163" s="6" t="s">
        <v>108</v>
      </c>
      <c r="K163" s="33">
        <f t="shared" si="43"/>
        <v>20</v>
      </c>
      <c r="L163" s="33">
        <f t="shared" si="44"/>
        <v>0</v>
      </c>
      <c r="AG163" s="33"/>
    </row>
    <row r="164" spans="9:33" x14ac:dyDescent="0.2">
      <c r="I164" s="33">
        <v>3</v>
      </c>
      <c r="J164" s="6" t="s">
        <v>109</v>
      </c>
      <c r="K164" s="33">
        <f t="shared" si="43"/>
        <v>19</v>
      </c>
      <c r="L164" s="33">
        <f t="shared" si="44"/>
        <v>0</v>
      </c>
      <c r="AG164" s="33"/>
    </row>
    <row r="165" spans="9:33" x14ac:dyDescent="0.2">
      <c r="I165" s="33">
        <v>3</v>
      </c>
      <c r="J165" s="6" t="s">
        <v>110</v>
      </c>
      <c r="K165" s="33">
        <f t="shared" si="43"/>
        <v>13</v>
      </c>
      <c r="L165" s="33">
        <f t="shared" si="44"/>
        <v>5</v>
      </c>
      <c r="AG165" s="33"/>
    </row>
    <row r="166" spans="9:33" x14ac:dyDescent="0.2">
      <c r="I166" s="33">
        <v>3</v>
      </c>
      <c r="J166" s="6" t="s">
        <v>111</v>
      </c>
      <c r="K166" s="33">
        <f t="shared" si="43"/>
        <v>11</v>
      </c>
      <c r="L166" s="33">
        <f t="shared" si="44"/>
        <v>4</v>
      </c>
      <c r="AG166" s="33"/>
    </row>
    <row r="167" spans="9:33" x14ac:dyDescent="0.2">
      <c r="I167">
        <v>4</v>
      </c>
      <c r="J167" s="6" t="s">
        <v>97</v>
      </c>
      <c r="K167" s="33">
        <f t="shared" ref="K167:K180" si="45">SUM(Z107,AA107)</f>
        <v>12</v>
      </c>
      <c r="L167" s="33">
        <f t="shared" ref="L167:L180" si="46">SUM(AB107,AC107)</f>
        <v>7</v>
      </c>
    </row>
    <row r="168" spans="9:33" x14ac:dyDescent="0.2">
      <c r="I168" s="33">
        <v>4</v>
      </c>
      <c r="J168" s="6" t="s">
        <v>98</v>
      </c>
      <c r="K168" s="33">
        <f t="shared" si="45"/>
        <v>13</v>
      </c>
      <c r="L168" s="33">
        <f t="shared" si="46"/>
        <v>4</v>
      </c>
    </row>
    <row r="169" spans="9:33" x14ac:dyDescent="0.2">
      <c r="I169" s="33">
        <v>4</v>
      </c>
      <c r="J169" s="6" t="s">
        <v>99</v>
      </c>
      <c r="K169" s="33">
        <f t="shared" si="45"/>
        <v>17</v>
      </c>
      <c r="L169" s="33">
        <f t="shared" si="46"/>
        <v>1</v>
      </c>
    </row>
    <row r="170" spans="9:33" x14ac:dyDescent="0.2">
      <c r="I170" s="33">
        <v>4</v>
      </c>
      <c r="J170" s="6" t="s">
        <v>101</v>
      </c>
      <c r="K170" s="33">
        <f t="shared" si="45"/>
        <v>12</v>
      </c>
      <c r="L170" s="33">
        <f t="shared" si="46"/>
        <v>5</v>
      </c>
    </row>
    <row r="171" spans="9:33" x14ac:dyDescent="0.2">
      <c r="I171" s="33">
        <v>4</v>
      </c>
      <c r="J171" s="6" t="s">
        <v>102</v>
      </c>
      <c r="K171" s="33">
        <f t="shared" si="45"/>
        <v>1</v>
      </c>
      <c r="L171" s="33">
        <f t="shared" si="46"/>
        <v>18</v>
      </c>
    </row>
    <row r="172" spans="9:33" x14ac:dyDescent="0.2">
      <c r="I172" s="33">
        <v>4</v>
      </c>
      <c r="J172" s="6" t="s">
        <v>103</v>
      </c>
      <c r="K172" s="33">
        <f t="shared" si="45"/>
        <v>13</v>
      </c>
      <c r="L172" s="33">
        <f t="shared" si="46"/>
        <v>0</v>
      </c>
    </row>
    <row r="173" spans="9:33" x14ac:dyDescent="0.2">
      <c r="I173" s="33">
        <v>4</v>
      </c>
      <c r="J173" s="6" t="s">
        <v>104</v>
      </c>
      <c r="K173" s="33">
        <f t="shared" si="45"/>
        <v>16</v>
      </c>
      <c r="L173" s="33">
        <f t="shared" si="46"/>
        <v>1</v>
      </c>
    </row>
    <row r="174" spans="9:33" x14ac:dyDescent="0.2">
      <c r="I174" s="33">
        <v>4</v>
      </c>
      <c r="J174" s="6" t="s">
        <v>105</v>
      </c>
      <c r="K174" s="33">
        <f t="shared" si="45"/>
        <v>16</v>
      </c>
      <c r="L174" s="33">
        <f t="shared" si="46"/>
        <v>2</v>
      </c>
    </row>
    <row r="175" spans="9:33" x14ac:dyDescent="0.2">
      <c r="I175" s="33">
        <v>4</v>
      </c>
      <c r="J175" s="6" t="s">
        <v>106</v>
      </c>
      <c r="K175" s="33">
        <f t="shared" si="45"/>
        <v>18</v>
      </c>
      <c r="L175" s="33">
        <f t="shared" si="46"/>
        <v>1</v>
      </c>
    </row>
    <row r="176" spans="9:33" x14ac:dyDescent="0.2">
      <c r="I176" s="33">
        <v>4</v>
      </c>
      <c r="J176" s="6" t="s">
        <v>107</v>
      </c>
      <c r="K176" s="33">
        <f t="shared" si="45"/>
        <v>17</v>
      </c>
      <c r="L176" s="33">
        <f t="shared" si="46"/>
        <v>1</v>
      </c>
    </row>
    <row r="177" spans="9:39" x14ac:dyDescent="0.2">
      <c r="I177" s="33">
        <v>4</v>
      </c>
      <c r="J177" s="6" t="s">
        <v>108</v>
      </c>
      <c r="K177" s="33">
        <f t="shared" si="45"/>
        <v>19</v>
      </c>
      <c r="L177" s="33">
        <f t="shared" si="46"/>
        <v>0</v>
      </c>
    </row>
    <row r="178" spans="9:39" x14ac:dyDescent="0.2">
      <c r="I178" s="33">
        <v>4</v>
      </c>
      <c r="J178" s="6" t="s">
        <v>109</v>
      </c>
      <c r="K178" s="33">
        <f t="shared" si="45"/>
        <v>17</v>
      </c>
      <c r="L178" s="33">
        <f t="shared" si="46"/>
        <v>1</v>
      </c>
    </row>
    <row r="179" spans="9:39" x14ac:dyDescent="0.2">
      <c r="I179" s="33">
        <v>4</v>
      </c>
      <c r="J179" s="6" t="s">
        <v>110</v>
      </c>
      <c r="K179" s="33">
        <f t="shared" si="45"/>
        <v>13</v>
      </c>
      <c r="L179" s="33">
        <f t="shared" si="46"/>
        <v>3</v>
      </c>
    </row>
    <row r="180" spans="9:39" x14ac:dyDescent="0.2">
      <c r="I180" s="33">
        <v>4</v>
      </c>
      <c r="J180" s="6" t="s">
        <v>111</v>
      </c>
      <c r="K180" s="33">
        <f t="shared" si="45"/>
        <v>9</v>
      </c>
      <c r="L180" s="33">
        <f t="shared" si="46"/>
        <v>4</v>
      </c>
    </row>
    <row r="181" spans="9:39" x14ac:dyDescent="0.2">
      <c r="I181">
        <v>7</v>
      </c>
      <c r="J181" s="6" t="s">
        <v>97</v>
      </c>
      <c r="K181" s="33">
        <f t="shared" ref="K181:K194" si="47">SUM(AE107,AF107)</f>
        <v>9</v>
      </c>
      <c r="L181" s="33">
        <f t="shared" ref="L181:L194" si="48">SUM(AG107,AH107)</f>
        <v>9</v>
      </c>
      <c r="AK181" s="33"/>
      <c r="AL181" s="33"/>
      <c r="AM181" s="33"/>
    </row>
    <row r="182" spans="9:39" x14ac:dyDescent="0.2">
      <c r="I182" s="33">
        <v>7</v>
      </c>
      <c r="J182" s="6" t="s">
        <v>98</v>
      </c>
      <c r="K182" s="33">
        <f t="shared" si="47"/>
        <v>8</v>
      </c>
      <c r="L182" s="33">
        <f t="shared" si="48"/>
        <v>9</v>
      </c>
      <c r="AK182" s="33"/>
      <c r="AL182" s="33"/>
      <c r="AM182" s="33"/>
    </row>
    <row r="183" spans="9:39" x14ac:dyDescent="0.2">
      <c r="I183" s="33">
        <v>7</v>
      </c>
      <c r="J183" s="6" t="s">
        <v>99</v>
      </c>
      <c r="K183" s="33">
        <f t="shared" si="47"/>
        <v>15</v>
      </c>
      <c r="L183" s="33">
        <f t="shared" si="48"/>
        <v>4</v>
      </c>
      <c r="AK183" s="33"/>
      <c r="AL183" s="33"/>
      <c r="AM183" s="33"/>
    </row>
    <row r="184" spans="9:39" x14ac:dyDescent="0.2">
      <c r="I184" s="33">
        <v>7</v>
      </c>
      <c r="J184" s="6" t="s">
        <v>101</v>
      </c>
      <c r="K184" s="33">
        <f t="shared" si="47"/>
        <v>5</v>
      </c>
      <c r="L184" s="33">
        <f t="shared" si="48"/>
        <v>10</v>
      </c>
      <c r="AK184" s="33"/>
      <c r="AL184" s="33"/>
      <c r="AM184" s="33"/>
    </row>
    <row r="185" spans="9:39" x14ac:dyDescent="0.2">
      <c r="I185" s="33">
        <v>7</v>
      </c>
      <c r="J185" s="6" t="s">
        <v>102</v>
      </c>
      <c r="K185" s="33">
        <f t="shared" si="47"/>
        <v>1</v>
      </c>
      <c r="L185" s="33">
        <f t="shared" si="48"/>
        <v>19</v>
      </c>
      <c r="AK185" s="33"/>
      <c r="AL185" s="33"/>
      <c r="AM185" s="33"/>
    </row>
    <row r="186" spans="9:39" x14ac:dyDescent="0.2">
      <c r="I186" s="33">
        <v>7</v>
      </c>
      <c r="J186" s="6" t="s">
        <v>103</v>
      </c>
      <c r="K186" s="33">
        <f t="shared" si="47"/>
        <v>12</v>
      </c>
      <c r="L186" s="33">
        <f t="shared" si="48"/>
        <v>1</v>
      </c>
      <c r="AK186" s="33"/>
      <c r="AL186" s="33"/>
      <c r="AM186" s="33"/>
    </row>
    <row r="187" spans="9:39" x14ac:dyDescent="0.2">
      <c r="I187" s="33">
        <v>7</v>
      </c>
      <c r="J187" s="6" t="s">
        <v>104</v>
      </c>
      <c r="K187" s="33">
        <f t="shared" si="47"/>
        <v>18</v>
      </c>
      <c r="L187" s="33">
        <f t="shared" si="48"/>
        <v>2</v>
      </c>
    </row>
    <row r="188" spans="9:39" x14ac:dyDescent="0.2">
      <c r="I188" s="33">
        <v>7</v>
      </c>
      <c r="J188" s="6" t="s">
        <v>105</v>
      </c>
      <c r="K188" s="33">
        <f t="shared" si="47"/>
        <v>16</v>
      </c>
      <c r="L188" s="33">
        <f t="shared" si="48"/>
        <v>2</v>
      </c>
    </row>
    <row r="189" spans="9:39" x14ac:dyDescent="0.2">
      <c r="I189" s="33">
        <v>7</v>
      </c>
      <c r="J189" s="6" t="s">
        <v>106</v>
      </c>
      <c r="K189" s="33">
        <f t="shared" si="47"/>
        <v>18</v>
      </c>
      <c r="L189" s="33">
        <f t="shared" si="48"/>
        <v>1</v>
      </c>
    </row>
    <row r="190" spans="9:39" x14ac:dyDescent="0.2">
      <c r="I190" s="33">
        <v>7</v>
      </c>
      <c r="J190" s="6" t="s">
        <v>107</v>
      </c>
      <c r="K190" s="33">
        <f t="shared" si="47"/>
        <v>18</v>
      </c>
      <c r="L190" s="33">
        <f t="shared" si="48"/>
        <v>1</v>
      </c>
    </row>
    <row r="191" spans="9:39" x14ac:dyDescent="0.2">
      <c r="I191" s="33">
        <v>7</v>
      </c>
      <c r="J191" s="6" t="s">
        <v>108</v>
      </c>
      <c r="K191" s="33">
        <f t="shared" si="47"/>
        <v>17</v>
      </c>
      <c r="L191" s="33">
        <f t="shared" si="48"/>
        <v>0</v>
      </c>
    </row>
    <row r="192" spans="9:39" x14ac:dyDescent="0.2">
      <c r="I192" s="33">
        <v>7</v>
      </c>
      <c r="J192" s="6" t="s">
        <v>109</v>
      </c>
      <c r="K192" s="33">
        <f t="shared" si="47"/>
        <v>18</v>
      </c>
      <c r="L192" s="33">
        <f t="shared" si="48"/>
        <v>0</v>
      </c>
    </row>
    <row r="193" spans="9:39" x14ac:dyDescent="0.2">
      <c r="I193" s="33">
        <v>7</v>
      </c>
      <c r="J193" s="6" t="s">
        <v>110</v>
      </c>
      <c r="K193" s="33">
        <f t="shared" si="47"/>
        <v>9</v>
      </c>
      <c r="L193" s="33">
        <f t="shared" si="48"/>
        <v>6</v>
      </c>
      <c r="AK193" s="33"/>
      <c r="AL193" s="33"/>
      <c r="AM193" s="33"/>
    </row>
    <row r="194" spans="9:39" x14ac:dyDescent="0.2">
      <c r="I194" s="33">
        <v>7</v>
      </c>
      <c r="J194" s="6" t="s">
        <v>111</v>
      </c>
      <c r="K194" s="33">
        <f t="shared" si="47"/>
        <v>7</v>
      </c>
      <c r="L194" s="33">
        <f t="shared" si="48"/>
        <v>4</v>
      </c>
      <c r="AK194" s="33"/>
      <c r="AL194" s="33"/>
      <c r="AM194" s="33"/>
    </row>
    <row r="195" spans="9:39" x14ac:dyDescent="0.2">
      <c r="I195">
        <v>14</v>
      </c>
      <c r="J195" s="6" t="s">
        <v>97</v>
      </c>
      <c r="K195" s="33">
        <f t="shared" ref="K195:K208" si="49">SUM(AJ107,AK107)</f>
        <v>5</v>
      </c>
      <c r="L195" s="33">
        <f t="shared" ref="L195:L208" si="50">SUM(AL107,AM107)</f>
        <v>13</v>
      </c>
    </row>
    <row r="196" spans="9:39" x14ac:dyDescent="0.2">
      <c r="I196" s="33">
        <v>14</v>
      </c>
      <c r="J196" s="6" t="s">
        <v>98</v>
      </c>
      <c r="K196" s="33">
        <f t="shared" si="49"/>
        <v>5</v>
      </c>
      <c r="L196" s="33">
        <f t="shared" si="50"/>
        <v>12</v>
      </c>
    </row>
    <row r="197" spans="9:39" x14ac:dyDescent="0.2">
      <c r="I197" s="33">
        <v>14</v>
      </c>
      <c r="J197" s="6" t="s">
        <v>99</v>
      </c>
      <c r="K197" s="33">
        <f t="shared" si="49"/>
        <v>14</v>
      </c>
      <c r="L197" s="33">
        <f t="shared" si="50"/>
        <v>4</v>
      </c>
    </row>
    <row r="198" spans="9:39" x14ac:dyDescent="0.2">
      <c r="I198" s="33">
        <v>14</v>
      </c>
      <c r="J198" s="6" t="s">
        <v>101</v>
      </c>
      <c r="K198" s="33">
        <f t="shared" si="49"/>
        <v>2</v>
      </c>
      <c r="L198" s="33">
        <f t="shared" si="50"/>
        <v>12</v>
      </c>
    </row>
    <row r="199" spans="9:39" x14ac:dyDescent="0.2">
      <c r="I199" s="33">
        <v>14</v>
      </c>
      <c r="J199" s="6" t="s">
        <v>102</v>
      </c>
      <c r="K199" s="33">
        <f t="shared" si="49"/>
        <v>1</v>
      </c>
      <c r="L199" s="33">
        <f t="shared" si="50"/>
        <v>19</v>
      </c>
    </row>
    <row r="200" spans="9:39" x14ac:dyDescent="0.2">
      <c r="I200" s="33">
        <v>14</v>
      </c>
      <c r="J200" s="6" t="s">
        <v>103</v>
      </c>
      <c r="K200" s="33">
        <f t="shared" si="49"/>
        <v>12</v>
      </c>
      <c r="L200" s="33">
        <f t="shared" si="50"/>
        <v>1</v>
      </c>
    </row>
    <row r="201" spans="9:39" x14ac:dyDescent="0.2">
      <c r="I201" s="33">
        <v>14</v>
      </c>
      <c r="J201" s="6" t="s">
        <v>104</v>
      </c>
      <c r="K201" s="33">
        <f t="shared" si="49"/>
        <v>9</v>
      </c>
      <c r="L201" s="33">
        <f t="shared" si="50"/>
        <v>11</v>
      </c>
    </row>
    <row r="202" spans="9:39" x14ac:dyDescent="0.2">
      <c r="I202" s="33">
        <v>14</v>
      </c>
      <c r="J202" s="6" t="s">
        <v>105</v>
      </c>
      <c r="K202" s="33">
        <f t="shared" si="49"/>
        <v>13</v>
      </c>
      <c r="L202" s="33">
        <f t="shared" si="50"/>
        <v>5</v>
      </c>
    </row>
    <row r="203" spans="9:39" x14ac:dyDescent="0.2">
      <c r="I203" s="33">
        <v>14</v>
      </c>
      <c r="J203" s="6" t="s">
        <v>106</v>
      </c>
      <c r="K203" s="33">
        <f t="shared" si="49"/>
        <v>16</v>
      </c>
      <c r="L203" s="33">
        <f t="shared" si="50"/>
        <v>2</v>
      </c>
    </row>
    <row r="204" spans="9:39" x14ac:dyDescent="0.2">
      <c r="I204" s="33">
        <v>14</v>
      </c>
      <c r="J204" s="6" t="s">
        <v>107</v>
      </c>
      <c r="K204" s="33">
        <f t="shared" si="49"/>
        <v>8</v>
      </c>
      <c r="L204" s="33">
        <f t="shared" si="50"/>
        <v>12</v>
      </c>
    </row>
    <row r="205" spans="9:39" x14ac:dyDescent="0.2">
      <c r="I205" s="33">
        <v>14</v>
      </c>
      <c r="J205" s="6" t="s">
        <v>108</v>
      </c>
      <c r="K205" s="33">
        <f t="shared" si="49"/>
        <v>11</v>
      </c>
      <c r="L205" s="33">
        <f t="shared" si="50"/>
        <v>8</v>
      </c>
    </row>
    <row r="206" spans="9:39" x14ac:dyDescent="0.2">
      <c r="I206" s="33">
        <v>14</v>
      </c>
      <c r="J206" s="6" t="s">
        <v>109</v>
      </c>
      <c r="K206" s="33">
        <f t="shared" si="49"/>
        <v>12</v>
      </c>
      <c r="L206" s="33">
        <f t="shared" si="50"/>
        <v>5</v>
      </c>
    </row>
    <row r="207" spans="9:39" x14ac:dyDescent="0.2">
      <c r="I207" s="33">
        <v>14</v>
      </c>
      <c r="J207" s="6" t="s">
        <v>110</v>
      </c>
      <c r="K207" s="33">
        <f t="shared" si="49"/>
        <v>2</v>
      </c>
      <c r="L207" s="33">
        <f t="shared" si="50"/>
        <v>13</v>
      </c>
    </row>
    <row r="208" spans="9:39" x14ac:dyDescent="0.2">
      <c r="I208" s="33">
        <v>14</v>
      </c>
      <c r="J208" s="6" t="s">
        <v>111</v>
      </c>
      <c r="K208" s="33">
        <f t="shared" si="49"/>
        <v>10</v>
      </c>
      <c r="L208" s="33">
        <f t="shared" si="50"/>
        <v>4</v>
      </c>
    </row>
    <row r="209" spans="9:12" x14ac:dyDescent="0.2">
      <c r="I209">
        <v>21</v>
      </c>
      <c r="J209" s="6" t="s">
        <v>97</v>
      </c>
      <c r="K209" s="33">
        <f t="shared" ref="K209:K222" si="51">SUM(AO107,AP107)</f>
        <v>1</v>
      </c>
      <c r="L209" s="33">
        <f t="shared" ref="L209:L222" si="52">SUM(AQ107,AR107)</f>
        <v>17</v>
      </c>
    </row>
    <row r="210" spans="9:12" x14ac:dyDescent="0.2">
      <c r="I210" s="33">
        <v>21</v>
      </c>
      <c r="J210" s="6" t="s">
        <v>98</v>
      </c>
      <c r="K210" s="33">
        <f t="shared" si="51"/>
        <v>4</v>
      </c>
      <c r="L210" s="33">
        <f t="shared" si="52"/>
        <v>10</v>
      </c>
    </row>
    <row r="211" spans="9:12" x14ac:dyDescent="0.2">
      <c r="I211" s="33">
        <v>21</v>
      </c>
      <c r="J211" s="6" t="s">
        <v>99</v>
      </c>
      <c r="K211" s="33">
        <f t="shared" si="51"/>
        <v>8</v>
      </c>
      <c r="L211" s="33">
        <f t="shared" si="52"/>
        <v>9</v>
      </c>
    </row>
    <row r="212" spans="9:12" x14ac:dyDescent="0.2">
      <c r="I212" s="33">
        <v>21</v>
      </c>
      <c r="J212" s="6" t="s">
        <v>101</v>
      </c>
      <c r="K212" s="33">
        <f t="shared" si="51"/>
        <v>1</v>
      </c>
      <c r="L212" s="33">
        <f t="shared" si="52"/>
        <v>15</v>
      </c>
    </row>
    <row r="213" spans="9:12" x14ac:dyDescent="0.2">
      <c r="I213" s="33">
        <v>21</v>
      </c>
      <c r="J213" s="6" t="s">
        <v>102</v>
      </c>
      <c r="K213" s="33">
        <f t="shared" si="51"/>
        <v>0</v>
      </c>
      <c r="L213" s="33">
        <f t="shared" si="52"/>
        <v>19</v>
      </c>
    </row>
    <row r="214" spans="9:12" x14ac:dyDescent="0.2">
      <c r="I214" s="33">
        <v>21</v>
      </c>
      <c r="J214" s="6" t="s">
        <v>103</v>
      </c>
      <c r="K214" s="33">
        <f t="shared" si="51"/>
        <v>10</v>
      </c>
      <c r="L214" s="33">
        <f t="shared" si="52"/>
        <v>3</v>
      </c>
    </row>
    <row r="215" spans="9:12" x14ac:dyDescent="0.2">
      <c r="I215" s="33">
        <v>21</v>
      </c>
      <c r="J215" s="6" t="s">
        <v>104</v>
      </c>
      <c r="K215" s="33">
        <f t="shared" si="51"/>
        <v>7</v>
      </c>
      <c r="L215" s="33">
        <f t="shared" si="52"/>
        <v>13</v>
      </c>
    </row>
    <row r="216" spans="9:12" x14ac:dyDescent="0.2">
      <c r="I216" s="33">
        <v>21</v>
      </c>
      <c r="J216" s="6" t="s">
        <v>105</v>
      </c>
      <c r="K216" s="33">
        <f t="shared" si="51"/>
        <v>12</v>
      </c>
      <c r="L216" s="33">
        <f t="shared" si="52"/>
        <v>4</v>
      </c>
    </row>
    <row r="217" spans="9:12" x14ac:dyDescent="0.2">
      <c r="I217" s="33">
        <v>21</v>
      </c>
      <c r="J217" s="6" t="s">
        <v>106</v>
      </c>
      <c r="K217" s="33">
        <f t="shared" si="51"/>
        <v>11</v>
      </c>
      <c r="L217" s="33">
        <f t="shared" si="52"/>
        <v>7</v>
      </c>
    </row>
    <row r="218" spans="9:12" x14ac:dyDescent="0.2">
      <c r="I218" s="33">
        <v>21</v>
      </c>
      <c r="J218" s="6" t="s">
        <v>107</v>
      </c>
      <c r="K218" s="33">
        <f t="shared" si="51"/>
        <v>6</v>
      </c>
      <c r="L218" s="33">
        <f t="shared" si="52"/>
        <v>12</v>
      </c>
    </row>
    <row r="219" spans="9:12" x14ac:dyDescent="0.2">
      <c r="I219" s="33">
        <v>21</v>
      </c>
      <c r="J219" s="6" t="s">
        <v>108</v>
      </c>
      <c r="K219" s="33">
        <f t="shared" si="51"/>
        <v>10</v>
      </c>
      <c r="L219" s="33">
        <f t="shared" si="52"/>
        <v>5</v>
      </c>
    </row>
    <row r="220" spans="9:12" x14ac:dyDescent="0.2">
      <c r="I220" s="33">
        <v>21</v>
      </c>
      <c r="J220" s="6" t="s">
        <v>109</v>
      </c>
      <c r="K220" s="33">
        <f t="shared" si="51"/>
        <v>8</v>
      </c>
      <c r="L220" s="33">
        <f t="shared" si="52"/>
        <v>5</v>
      </c>
    </row>
    <row r="221" spans="9:12" x14ac:dyDescent="0.2">
      <c r="I221" s="33">
        <v>21</v>
      </c>
      <c r="J221" s="6" t="s">
        <v>110</v>
      </c>
      <c r="K221" s="33">
        <f t="shared" si="51"/>
        <v>1</v>
      </c>
      <c r="L221" s="33">
        <f t="shared" si="52"/>
        <v>16</v>
      </c>
    </row>
    <row r="222" spans="9:12" x14ac:dyDescent="0.2">
      <c r="I222" s="33">
        <v>21</v>
      </c>
      <c r="J222" s="6" t="s">
        <v>111</v>
      </c>
      <c r="K222" s="33">
        <f t="shared" si="51"/>
        <v>2</v>
      </c>
      <c r="L222" s="33">
        <f t="shared" si="52"/>
        <v>12</v>
      </c>
    </row>
    <row r="223" spans="9:12" x14ac:dyDescent="0.2">
      <c r="I223">
        <v>28</v>
      </c>
      <c r="J223" s="6" t="s">
        <v>97</v>
      </c>
      <c r="K223" s="33">
        <f t="shared" ref="K223:K236" si="53">SUM(AT107,AU107)</f>
        <v>1</v>
      </c>
      <c r="L223" s="33">
        <f t="shared" ref="L223:L236" si="54">SUM(AV107,AW107)</f>
        <v>15</v>
      </c>
    </row>
    <row r="224" spans="9:12" x14ac:dyDescent="0.2">
      <c r="I224" s="33">
        <v>28</v>
      </c>
      <c r="J224" s="6" t="s">
        <v>98</v>
      </c>
      <c r="K224" s="33">
        <f t="shared" si="53"/>
        <v>1</v>
      </c>
      <c r="L224" s="33">
        <f t="shared" si="54"/>
        <v>13</v>
      </c>
    </row>
    <row r="225" spans="9:12" x14ac:dyDescent="0.2">
      <c r="I225" s="33">
        <v>28</v>
      </c>
      <c r="J225" s="6" t="s">
        <v>99</v>
      </c>
      <c r="K225" s="33">
        <f t="shared" si="53"/>
        <v>6</v>
      </c>
      <c r="L225" s="33">
        <f t="shared" si="54"/>
        <v>9</v>
      </c>
    </row>
    <row r="226" spans="9:12" x14ac:dyDescent="0.2">
      <c r="I226" s="33">
        <v>28</v>
      </c>
      <c r="J226" s="6" t="s">
        <v>101</v>
      </c>
      <c r="K226" s="33">
        <f t="shared" si="53"/>
        <v>1</v>
      </c>
      <c r="L226" s="33">
        <f t="shared" si="54"/>
        <v>14</v>
      </c>
    </row>
    <row r="227" spans="9:12" x14ac:dyDescent="0.2">
      <c r="I227" s="33">
        <v>28</v>
      </c>
      <c r="J227" s="6" t="s">
        <v>102</v>
      </c>
      <c r="K227" s="33">
        <f t="shared" si="53"/>
        <v>0</v>
      </c>
      <c r="L227" s="33">
        <f t="shared" si="54"/>
        <v>17</v>
      </c>
    </row>
    <row r="228" spans="9:12" x14ac:dyDescent="0.2">
      <c r="I228" s="33">
        <v>28</v>
      </c>
      <c r="J228" s="6" t="s">
        <v>103</v>
      </c>
      <c r="K228" s="33">
        <f t="shared" si="53"/>
        <v>10</v>
      </c>
      <c r="L228" s="33">
        <f t="shared" si="54"/>
        <v>3</v>
      </c>
    </row>
    <row r="229" spans="9:12" x14ac:dyDescent="0.2">
      <c r="I229" s="33">
        <v>28</v>
      </c>
      <c r="J229" s="6" t="s">
        <v>104</v>
      </c>
      <c r="K229" s="33">
        <f t="shared" si="53"/>
        <v>0</v>
      </c>
      <c r="L229" s="33">
        <f t="shared" si="54"/>
        <v>18</v>
      </c>
    </row>
    <row r="230" spans="9:12" x14ac:dyDescent="0.2">
      <c r="I230" s="33">
        <v>28</v>
      </c>
      <c r="J230" s="6" t="s">
        <v>105</v>
      </c>
      <c r="K230" s="33">
        <f t="shared" si="53"/>
        <v>8</v>
      </c>
      <c r="L230" s="33">
        <f t="shared" si="54"/>
        <v>8</v>
      </c>
    </row>
    <row r="231" spans="9:12" x14ac:dyDescent="0.2">
      <c r="I231" s="33">
        <v>28</v>
      </c>
      <c r="J231" s="6" t="s">
        <v>106</v>
      </c>
      <c r="K231" s="33">
        <f t="shared" si="53"/>
        <v>9</v>
      </c>
      <c r="L231" s="33">
        <f t="shared" si="54"/>
        <v>7</v>
      </c>
    </row>
    <row r="232" spans="9:12" x14ac:dyDescent="0.2">
      <c r="I232" s="33">
        <v>28</v>
      </c>
      <c r="J232" s="6" t="s">
        <v>107</v>
      </c>
      <c r="K232" s="33">
        <f t="shared" si="53"/>
        <v>1</v>
      </c>
      <c r="L232" s="33">
        <f t="shared" si="54"/>
        <v>18</v>
      </c>
    </row>
    <row r="233" spans="9:12" x14ac:dyDescent="0.2">
      <c r="I233" s="33">
        <v>28</v>
      </c>
      <c r="J233" s="6" t="s">
        <v>108</v>
      </c>
      <c r="K233" s="33">
        <f t="shared" si="53"/>
        <v>7</v>
      </c>
      <c r="L233" s="33">
        <f t="shared" si="54"/>
        <v>5</v>
      </c>
    </row>
    <row r="234" spans="9:12" x14ac:dyDescent="0.2">
      <c r="I234" s="33">
        <v>28</v>
      </c>
      <c r="J234" s="6" t="s">
        <v>109</v>
      </c>
      <c r="K234" s="33">
        <f t="shared" si="53"/>
        <v>5</v>
      </c>
      <c r="L234" s="33">
        <f t="shared" si="54"/>
        <v>8</v>
      </c>
    </row>
    <row r="235" spans="9:12" x14ac:dyDescent="0.2">
      <c r="I235" s="33">
        <v>28</v>
      </c>
      <c r="J235" s="6" t="s">
        <v>110</v>
      </c>
      <c r="K235" s="33">
        <f t="shared" si="53"/>
        <v>1</v>
      </c>
      <c r="L235" s="33">
        <f t="shared" si="54"/>
        <v>10</v>
      </c>
    </row>
    <row r="236" spans="9:12" x14ac:dyDescent="0.2">
      <c r="I236" s="33">
        <v>28</v>
      </c>
      <c r="J236" s="6" t="s">
        <v>111</v>
      </c>
      <c r="K236" s="33">
        <f t="shared" si="53"/>
        <v>0</v>
      </c>
      <c r="L236" s="33">
        <f t="shared" si="54"/>
        <v>11</v>
      </c>
    </row>
    <row r="237" spans="9:12" x14ac:dyDescent="0.2">
      <c r="I237">
        <v>35</v>
      </c>
      <c r="J237" s="6" t="s">
        <v>97</v>
      </c>
      <c r="K237" s="33">
        <f>SUM(AY107,AZ107)</f>
        <v>1</v>
      </c>
      <c r="L237" s="33">
        <f>SUM(BA107,BB107)</f>
        <v>15</v>
      </c>
    </row>
    <row r="238" spans="9:12" x14ac:dyDescent="0.2">
      <c r="I238" s="33">
        <v>35</v>
      </c>
      <c r="J238" s="6" t="s">
        <v>98</v>
      </c>
      <c r="K238" s="33">
        <f>SUM(AY108,AZ108)</f>
        <v>0</v>
      </c>
      <c r="L238" s="33">
        <f>SUM(BA108,BB108)</f>
        <v>13</v>
      </c>
    </row>
    <row r="239" spans="9:12" x14ac:dyDescent="0.2">
      <c r="I239" s="33">
        <v>35</v>
      </c>
      <c r="J239" s="6" t="s">
        <v>99</v>
      </c>
      <c r="K239" s="33">
        <f>SUM(AY109,AZ109)</f>
        <v>5</v>
      </c>
      <c r="L239" s="33">
        <f>SUM(BA109,BB109)</f>
        <v>10</v>
      </c>
    </row>
    <row r="240" spans="9:12" x14ac:dyDescent="0.2">
      <c r="I240" s="33">
        <v>35</v>
      </c>
      <c r="J240" s="6" t="s">
        <v>101</v>
      </c>
      <c r="K240" s="33">
        <f>SUM(AY110,AZ110)</f>
        <v>0</v>
      </c>
      <c r="L240" s="33">
        <f>SUM(BA110,BB110)</f>
        <v>16</v>
      </c>
    </row>
    <row r="241" spans="9:12" x14ac:dyDescent="0.2">
      <c r="I241" s="33">
        <v>35</v>
      </c>
      <c r="J241" s="6" t="s">
        <v>103</v>
      </c>
      <c r="K241" s="33">
        <f t="shared" ref="K241:K249" si="55">SUM(AY112,AZ112)</f>
        <v>7</v>
      </c>
      <c r="L241" s="33">
        <f t="shared" ref="L241:L249" si="56">SUM(BA112,BB112)</f>
        <v>6</v>
      </c>
    </row>
    <row r="242" spans="9:12" x14ac:dyDescent="0.2">
      <c r="I242" s="33">
        <v>35</v>
      </c>
      <c r="J242" s="6" t="s">
        <v>104</v>
      </c>
      <c r="K242" s="33">
        <f t="shared" si="55"/>
        <v>2</v>
      </c>
      <c r="L242" s="33">
        <f t="shared" si="56"/>
        <v>15</v>
      </c>
    </row>
    <row r="243" spans="9:12" x14ac:dyDescent="0.2">
      <c r="I243" s="33">
        <v>35</v>
      </c>
      <c r="J243" s="6" t="s">
        <v>105</v>
      </c>
      <c r="K243" s="33">
        <f t="shared" si="55"/>
        <v>6</v>
      </c>
      <c r="L243" s="33">
        <f t="shared" si="56"/>
        <v>11</v>
      </c>
    </row>
    <row r="244" spans="9:12" x14ac:dyDescent="0.2">
      <c r="I244" s="33">
        <v>35</v>
      </c>
      <c r="J244" s="6" t="s">
        <v>106</v>
      </c>
      <c r="K244" s="33">
        <f t="shared" si="55"/>
        <v>7</v>
      </c>
      <c r="L244" s="33">
        <f t="shared" si="56"/>
        <v>7</v>
      </c>
    </row>
    <row r="245" spans="9:12" x14ac:dyDescent="0.2">
      <c r="I245" s="33">
        <v>35</v>
      </c>
      <c r="J245" s="6" t="s">
        <v>107</v>
      </c>
      <c r="K245" s="33">
        <f t="shared" si="55"/>
        <v>1</v>
      </c>
      <c r="L245" s="33">
        <f t="shared" si="56"/>
        <v>16</v>
      </c>
    </row>
    <row r="246" spans="9:12" x14ac:dyDescent="0.2">
      <c r="I246" s="33">
        <v>35</v>
      </c>
      <c r="J246" s="6" t="s">
        <v>108</v>
      </c>
      <c r="K246" s="33">
        <f t="shared" si="55"/>
        <v>3</v>
      </c>
      <c r="L246" s="33">
        <f t="shared" si="56"/>
        <v>9</v>
      </c>
    </row>
    <row r="247" spans="9:12" x14ac:dyDescent="0.2">
      <c r="I247" s="33">
        <v>35</v>
      </c>
      <c r="J247" s="6" t="s">
        <v>109</v>
      </c>
      <c r="K247" s="33">
        <f t="shared" si="55"/>
        <v>2</v>
      </c>
      <c r="L247" s="33">
        <f t="shared" si="56"/>
        <v>9</v>
      </c>
    </row>
    <row r="248" spans="9:12" x14ac:dyDescent="0.2">
      <c r="I248" s="33">
        <v>35</v>
      </c>
      <c r="J248" s="6" t="s">
        <v>110</v>
      </c>
      <c r="K248" s="33">
        <f t="shared" si="55"/>
        <v>0</v>
      </c>
      <c r="L248" s="33">
        <f t="shared" si="56"/>
        <v>13</v>
      </c>
    </row>
    <row r="249" spans="9:12" x14ac:dyDescent="0.2">
      <c r="I249" s="33">
        <v>35</v>
      </c>
      <c r="J249" s="6" t="s">
        <v>111</v>
      </c>
      <c r="K249" s="33">
        <f t="shared" si="55"/>
        <v>1</v>
      </c>
      <c r="L249" s="33">
        <f t="shared" si="56"/>
        <v>10</v>
      </c>
    </row>
    <row r="250" spans="9:12" x14ac:dyDescent="0.2">
      <c r="I250">
        <v>42</v>
      </c>
      <c r="J250" s="6" t="s">
        <v>104</v>
      </c>
      <c r="K250" s="33">
        <f t="shared" ref="K250:K255" si="57">SUM(BD113,BE113)</f>
        <v>2</v>
      </c>
      <c r="L250" s="33">
        <f t="shared" ref="L250:L255" si="58">SUM(BF113,BG113)</f>
        <v>16</v>
      </c>
    </row>
    <row r="251" spans="9:12" x14ac:dyDescent="0.2">
      <c r="I251" s="33">
        <v>42</v>
      </c>
      <c r="J251" s="6" t="s">
        <v>105</v>
      </c>
      <c r="K251" s="33">
        <f t="shared" si="57"/>
        <v>4</v>
      </c>
      <c r="L251" s="33">
        <f t="shared" si="58"/>
        <v>13</v>
      </c>
    </row>
    <row r="252" spans="9:12" x14ac:dyDescent="0.2">
      <c r="I252" s="33">
        <v>42</v>
      </c>
      <c r="J252" s="6" t="s">
        <v>106</v>
      </c>
      <c r="K252" s="33">
        <f t="shared" si="57"/>
        <v>5</v>
      </c>
      <c r="L252" s="33">
        <f t="shared" si="58"/>
        <v>12</v>
      </c>
    </row>
    <row r="253" spans="9:12" x14ac:dyDescent="0.2">
      <c r="I253" s="33">
        <v>42</v>
      </c>
      <c r="J253" s="6" t="s">
        <v>107</v>
      </c>
      <c r="K253" s="33">
        <f t="shared" si="57"/>
        <v>3</v>
      </c>
      <c r="L253" s="33">
        <f t="shared" si="58"/>
        <v>16</v>
      </c>
    </row>
    <row r="254" spans="9:12" x14ac:dyDescent="0.2">
      <c r="I254" s="33">
        <v>42</v>
      </c>
      <c r="J254" s="6" t="s">
        <v>108</v>
      </c>
      <c r="K254" s="33">
        <f t="shared" si="57"/>
        <v>0</v>
      </c>
      <c r="L254" s="33">
        <f t="shared" si="58"/>
        <v>15</v>
      </c>
    </row>
    <row r="255" spans="9:12" x14ac:dyDescent="0.2">
      <c r="I255" s="33">
        <v>42</v>
      </c>
      <c r="J255" s="6" t="s">
        <v>109</v>
      </c>
      <c r="K255" s="33">
        <f t="shared" si="57"/>
        <v>2</v>
      </c>
      <c r="L255" s="33">
        <f t="shared" si="58"/>
        <v>11</v>
      </c>
    </row>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2"/>
  <sheetViews>
    <sheetView topLeftCell="A8" zoomScale="108" zoomScaleNormal="70" workbookViewId="0">
      <selection activeCell="A26" sqref="A26"/>
    </sheetView>
  </sheetViews>
  <sheetFormatPr baseColWidth="10" defaultColWidth="8.83203125" defaultRowHeight="15" x14ac:dyDescent="0.2"/>
  <cols>
    <col min="3" max="3" width="8.83203125" style="33"/>
    <col min="4" max="4" width="14.1640625" bestFit="1" customWidth="1"/>
    <col min="11" max="11" width="2.5" bestFit="1" customWidth="1"/>
    <col min="22" max="22" width="5.5" customWidth="1"/>
    <col min="27" max="27" width="5.1640625" customWidth="1"/>
    <col min="34" max="34" width="8.6640625" customWidth="1"/>
    <col min="36" max="36" width="22.33203125" bestFit="1" customWidth="1"/>
  </cols>
  <sheetData>
    <row r="1" spans="1:28" x14ac:dyDescent="0.2">
      <c r="A1" s="1" t="s">
        <v>112</v>
      </c>
      <c r="B1" s="2" t="s">
        <v>1</v>
      </c>
      <c r="C1" s="2"/>
      <c r="D1" s="3"/>
      <c r="E1" s="94" t="s">
        <v>113</v>
      </c>
      <c r="F1" s="5" t="s">
        <v>3</v>
      </c>
      <c r="G1" s="2"/>
      <c r="H1" s="2"/>
      <c r="I1" s="2"/>
      <c r="J1" s="5" t="s">
        <v>4</v>
      </c>
      <c r="K1" s="2"/>
      <c r="L1" s="2"/>
      <c r="M1" s="2"/>
      <c r="N1" s="5" t="s">
        <v>5</v>
      </c>
      <c r="O1" s="2"/>
      <c r="P1" s="2"/>
      <c r="Q1" s="2"/>
      <c r="R1" s="5" t="s">
        <v>6</v>
      </c>
      <c r="S1" s="2"/>
      <c r="T1" s="2"/>
      <c r="U1" s="2"/>
      <c r="V1" s="2"/>
      <c r="W1" s="5" t="s">
        <v>7</v>
      </c>
      <c r="X1" s="2"/>
      <c r="Y1" s="2"/>
      <c r="Z1" s="2"/>
      <c r="AA1" s="2"/>
      <c r="AB1" s="105"/>
    </row>
    <row r="2" spans="1:28" x14ac:dyDescent="0.2">
      <c r="D2" s="6"/>
      <c r="E2" s="7"/>
      <c r="F2" s="8" t="s">
        <v>9</v>
      </c>
      <c r="G2" s="9" t="s">
        <v>10</v>
      </c>
      <c r="H2" s="9" t="s">
        <v>11</v>
      </c>
      <c r="I2" s="42" t="s">
        <v>12</v>
      </c>
      <c r="J2" s="9" t="s">
        <v>9</v>
      </c>
      <c r="K2" s="9" t="s">
        <v>10</v>
      </c>
      <c r="L2" s="9" t="s">
        <v>11</v>
      </c>
      <c r="M2" s="9" t="s">
        <v>12</v>
      </c>
      <c r="N2" s="8" t="s">
        <v>9</v>
      </c>
      <c r="O2" s="9" t="s">
        <v>10</v>
      </c>
      <c r="P2" s="9" t="s">
        <v>11</v>
      </c>
      <c r="Q2" s="9" t="s">
        <v>12</v>
      </c>
      <c r="R2" s="8" t="s">
        <v>9</v>
      </c>
      <c r="S2" s="9" t="s">
        <v>10</v>
      </c>
      <c r="T2" s="9" t="s">
        <v>11</v>
      </c>
      <c r="U2" s="9" t="s">
        <v>12</v>
      </c>
      <c r="V2" s="9" t="s">
        <v>13</v>
      </c>
      <c r="W2" s="8" t="s">
        <v>9</v>
      </c>
      <c r="X2" s="9" t="s">
        <v>10</v>
      </c>
      <c r="Y2" s="9" t="s">
        <v>11</v>
      </c>
      <c r="Z2" s="9" t="s">
        <v>12</v>
      </c>
      <c r="AA2" s="9" t="s">
        <v>13</v>
      </c>
      <c r="AB2" s="6"/>
    </row>
    <row r="3" spans="1:28" x14ac:dyDescent="0.2">
      <c r="D3" s="11" t="s">
        <v>114</v>
      </c>
      <c r="E3" s="12"/>
      <c r="F3" s="6"/>
      <c r="J3" s="6"/>
      <c r="N3" s="6"/>
      <c r="R3" s="6"/>
      <c r="W3" s="6"/>
      <c r="AB3" s="6"/>
    </row>
    <row r="4" spans="1:28" x14ac:dyDescent="0.2">
      <c r="D4" s="11" t="s">
        <v>16</v>
      </c>
      <c r="F4" s="6"/>
      <c r="J4" s="6"/>
      <c r="N4" s="6"/>
      <c r="R4" s="6"/>
      <c r="W4" s="6"/>
      <c r="AB4" s="6"/>
    </row>
    <row r="5" spans="1:28" x14ac:dyDescent="0.2">
      <c r="A5" t="s">
        <v>115</v>
      </c>
      <c r="B5" s="13">
        <v>41555</v>
      </c>
      <c r="C5" s="33">
        <v>2</v>
      </c>
      <c r="D5" s="40" t="s">
        <v>116</v>
      </c>
      <c r="E5" s="38"/>
      <c r="F5" s="40"/>
      <c r="G5" s="38"/>
      <c r="H5" s="38"/>
      <c r="I5" s="38"/>
      <c r="J5" s="40"/>
      <c r="K5" s="38"/>
      <c r="L5" s="38"/>
      <c r="M5" s="38"/>
      <c r="N5" s="40">
        <v>21</v>
      </c>
      <c r="O5" s="38">
        <v>1</v>
      </c>
      <c r="P5" s="38">
        <v>0</v>
      </c>
      <c r="Q5" s="38">
        <v>0</v>
      </c>
      <c r="R5" s="40">
        <v>20</v>
      </c>
      <c r="S5" s="38">
        <v>1</v>
      </c>
      <c r="T5" s="38">
        <v>1</v>
      </c>
      <c r="U5" s="38">
        <v>0</v>
      </c>
      <c r="V5" s="38">
        <f t="shared" ref="V5:V13" si="0">SUM(R5:U5)</f>
        <v>22</v>
      </c>
      <c r="W5" s="40">
        <v>20</v>
      </c>
      <c r="X5" s="38">
        <v>1</v>
      </c>
      <c r="Y5" s="38">
        <v>1</v>
      </c>
      <c r="Z5" s="38">
        <v>0</v>
      </c>
      <c r="AA5" s="38">
        <f t="shared" ref="AA5:AA13" si="1">SUM(W5:Z5)</f>
        <v>22</v>
      </c>
      <c r="AB5" s="6"/>
    </row>
    <row r="6" spans="1:28" x14ac:dyDescent="0.2">
      <c r="A6" t="s">
        <v>115</v>
      </c>
      <c r="B6" s="13">
        <v>41555</v>
      </c>
      <c r="C6" s="33">
        <v>2</v>
      </c>
      <c r="D6" s="40" t="s">
        <v>117</v>
      </c>
      <c r="E6" s="38"/>
      <c r="F6" s="40"/>
      <c r="G6" s="38"/>
      <c r="H6" s="38"/>
      <c r="I6" s="38"/>
      <c r="J6" s="40"/>
      <c r="K6" s="38"/>
      <c r="L6" s="38"/>
      <c r="M6" s="38"/>
      <c r="N6" s="40">
        <v>19</v>
      </c>
      <c r="O6" s="38">
        <v>1</v>
      </c>
      <c r="P6" s="38">
        <v>0</v>
      </c>
      <c r="Q6" s="38">
        <v>0</v>
      </c>
      <c r="R6" s="40">
        <v>19</v>
      </c>
      <c r="S6" s="38">
        <v>1</v>
      </c>
      <c r="T6" s="38">
        <v>0</v>
      </c>
      <c r="U6" s="38">
        <v>0</v>
      </c>
      <c r="V6" s="38">
        <f t="shared" si="0"/>
        <v>20</v>
      </c>
      <c r="W6" s="40">
        <v>18</v>
      </c>
      <c r="X6" s="38">
        <v>1</v>
      </c>
      <c r="Y6" s="38">
        <v>1</v>
      </c>
      <c r="Z6" s="38">
        <v>0</v>
      </c>
      <c r="AA6" s="38">
        <f t="shared" si="1"/>
        <v>20</v>
      </c>
      <c r="AB6" s="6"/>
    </row>
    <row r="7" spans="1:28" x14ac:dyDescent="0.2">
      <c r="A7" t="s">
        <v>115</v>
      </c>
      <c r="B7" s="13">
        <v>41555</v>
      </c>
      <c r="C7" s="33">
        <v>2</v>
      </c>
      <c r="D7" s="40" t="s">
        <v>118</v>
      </c>
      <c r="E7" s="38"/>
      <c r="F7" s="40"/>
      <c r="G7" s="38"/>
      <c r="H7" s="38"/>
      <c r="I7" s="38"/>
      <c r="J7" s="40"/>
      <c r="K7" s="38"/>
      <c r="L7" s="38"/>
      <c r="M7" s="38"/>
      <c r="N7" s="40">
        <v>24</v>
      </c>
      <c r="O7" s="38">
        <v>0</v>
      </c>
      <c r="P7" s="38">
        <v>0</v>
      </c>
      <c r="Q7" s="38">
        <v>0</v>
      </c>
      <c r="R7" s="40">
        <v>21</v>
      </c>
      <c r="S7" s="38">
        <v>2</v>
      </c>
      <c r="T7" s="38">
        <v>1</v>
      </c>
      <c r="U7" s="38">
        <v>0</v>
      </c>
      <c r="V7" s="38">
        <f t="shared" si="0"/>
        <v>24</v>
      </c>
      <c r="W7" s="40">
        <v>21</v>
      </c>
      <c r="X7" s="38">
        <v>2</v>
      </c>
      <c r="Y7" s="38">
        <v>1</v>
      </c>
      <c r="Z7" s="38">
        <v>0</v>
      </c>
      <c r="AA7" s="38">
        <f t="shared" si="1"/>
        <v>24</v>
      </c>
      <c r="AB7" s="6"/>
    </row>
    <row r="8" spans="1:28" x14ac:dyDescent="0.2">
      <c r="B8" s="13">
        <v>41590</v>
      </c>
      <c r="C8" s="33">
        <v>2</v>
      </c>
      <c r="D8" s="6" t="s">
        <v>119</v>
      </c>
      <c r="E8" s="85">
        <f>21*60</f>
        <v>1260</v>
      </c>
      <c r="F8" s="6">
        <v>0</v>
      </c>
      <c r="G8">
        <v>1</v>
      </c>
      <c r="H8" t="s">
        <v>247</v>
      </c>
      <c r="I8">
        <v>0</v>
      </c>
      <c r="J8" s="6">
        <v>1</v>
      </c>
      <c r="K8" s="15">
        <v>2</v>
      </c>
      <c r="L8" s="15" t="s">
        <v>247</v>
      </c>
      <c r="M8" s="15">
        <v>0</v>
      </c>
      <c r="N8" s="86">
        <v>2</v>
      </c>
      <c r="O8" s="15">
        <v>3</v>
      </c>
      <c r="P8" s="15" t="s">
        <v>247</v>
      </c>
      <c r="Q8" s="15">
        <v>0</v>
      </c>
      <c r="R8" s="6">
        <v>8</v>
      </c>
      <c r="S8">
        <v>2</v>
      </c>
      <c r="T8" t="s">
        <v>247</v>
      </c>
      <c r="U8">
        <v>0</v>
      </c>
      <c r="V8" s="14" t="s">
        <v>247</v>
      </c>
      <c r="W8" s="6">
        <v>12</v>
      </c>
      <c r="X8" s="15">
        <v>8</v>
      </c>
      <c r="Y8" s="15">
        <v>0</v>
      </c>
      <c r="Z8" s="15">
        <v>0</v>
      </c>
      <c r="AA8" s="14">
        <f t="shared" si="1"/>
        <v>20</v>
      </c>
      <c r="AB8" s="6"/>
    </row>
    <row r="9" spans="1:28" x14ac:dyDescent="0.2">
      <c r="B9" s="13">
        <v>41590</v>
      </c>
      <c r="C9" s="33">
        <v>2</v>
      </c>
      <c r="D9" s="6" t="s">
        <v>120</v>
      </c>
      <c r="E9" s="85">
        <f>26*60</f>
        <v>1560</v>
      </c>
      <c r="F9" s="6">
        <v>0</v>
      </c>
      <c r="G9">
        <v>0</v>
      </c>
      <c r="H9" t="s">
        <v>247</v>
      </c>
      <c r="I9">
        <v>0</v>
      </c>
      <c r="J9" s="6">
        <v>2</v>
      </c>
      <c r="K9" s="15">
        <v>2</v>
      </c>
      <c r="L9" s="15" t="s">
        <v>247</v>
      </c>
      <c r="M9" s="15">
        <v>0</v>
      </c>
      <c r="N9" s="6">
        <v>3</v>
      </c>
      <c r="O9" s="15">
        <v>1</v>
      </c>
      <c r="P9" s="15" t="s">
        <v>247</v>
      </c>
      <c r="Q9" s="15">
        <v>0</v>
      </c>
      <c r="R9" s="6">
        <v>11</v>
      </c>
      <c r="S9">
        <v>3</v>
      </c>
      <c r="T9" t="s">
        <v>247</v>
      </c>
      <c r="U9">
        <v>0</v>
      </c>
      <c r="V9" s="14" t="s">
        <v>247</v>
      </c>
      <c r="W9" s="6">
        <v>17</v>
      </c>
      <c r="X9" s="15">
        <v>3</v>
      </c>
      <c r="Y9" s="15">
        <v>1</v>
      </c>
      <c r="Z9" s="15">
        <v>1</v>
      </c>
      <c r="AA9" s="14">
        <f t="shared" si="1"/>
        <v>22</v>
      </c>
      <c r="AB9" s="6"/>
    </row>
    <row r="10" spans="1:28" x14ac:dyDescent="0.2">
      <c r="B10" s="13">
        <v>41590</v>
      </c>
      <c r="C10" s="33">
        <v>2</v>
      </c>
      <c r="D10" s="32" t="s">
        <v>121</v>
      </c>
      <c r="E10" s="33">
        <f>28*60</f>
        <v>1680</v>
      </c>
      <c r="F10" s="32">
        <v>0</v>
      </c>
      <c r="G10" s="33">
        <v>0</v>
      </c>
      <c r="H10" s="33" t="s">
        <v>247</v>
      </c>
      <c r="I10" s="33">
        <v>0</v>
      </c>
      <c r="J10" s="32">
        <v>0</v>
      </c>
      <c r="K10" s="15">
        <v>2</v>
      </c>
      <c r="L10" s="15" t="s">
        <v>247</v>
      </c>
      <c r="M10" s="15">
        <v>0</v>
      </c>
      <c r="N10" s="32">
        <v>5</v>
      </c>
      <c r="O10" s="15">
        <v>0</v>
      </c>
      <c r="P10" s="15" t="s">
        <v>247</v>
      </c>
      <c r="Q10" s="15">
        <v>0</v>
      </c>
      <c r="R10" s="32">
        <v>12</v>
      </c>
      <c r="S10" s="33">
        <v>2</v>
      </c>
      <c r="T10" s="33" t="s">
        <v>247</v>
      </c>
      <c r="U10" s="33">
        <v>0</v>
      </c>
      <c r="V10" s="33" t="s">
        <v>247</v>
      </c>
      <c r="W10" s="32">
        <v>10</v>
      </c>
      <c r="X10" s="15">
        <v>3</v>
      </c>
      <c r="Y10" s="15">
        <v>0</v>
      </c>
      <c r="Z10" s="15">
        <v>1</v>
      </c>
      <c r="AA10" s="33">
        <f t="shared" si="1"/>
        <v>14</v>
      </c>
      <c r="AB10" s="6"/>
    </row>
    <row r="11" spans="1:28" x14ac:dyDescent="0.2">
      <c r="B11" s="13">
        <v>41802</v>
      </c>
      <c r="C11" s="33">
        <v>2</v>
      </c>
      <c r="D11" s="32" t="s">
        <v>122</v>
      </c>
      <c r="E11" s="33">
        <f>12.5*60</f>
        <v>750</v>
      </c>
      <c r="F11" s="32">
        <v>0</v>
      </c>
      <c r="G11" s="33">
        <v>0</v>
      </c>
      <c r="H11" s="15" t="s">
        <v>247</v>
      </c>
      <c r="I11" s="15">
        <v>0</v>
      </c>
      <c r="J11" s="32">
        <v>9</v>
      </c>
      <c r="K11" s="15">
        <v>3</v>
      </c>
      <c r="L11" s="82">
        <v>6</v>
      </c>
      <c r="M11" s="15">
        <v>0</v>
      </c>
      <c r="N11" s="32">
        <v>12</v>
      </c>
      <c r="O11" s="15">
        <v>2</v>
      </c>
      <c r="P11" s="82">
        <v>4</v>
      </c>
      <c r="Q11" s="15">
        <v>0</v>
      </c>
      <c r="R11" s="32">
        <v>13</v>
      </c>
      <c r="S11" s="15">
        <v>0</v>
      </c>
      <c r="T11" s="82">
        <v>4</v>
      </c>
      <c r="U11" s="15">
        <v>0</v>
      </c>
      <c r="V11" s="33">
        <f t="shared" si="0"/>
        <v>17</v>
      </c>
      <c r="W11" s="32">
        <v>11</v>
      </c>
      <c r="X11" s="15">
        <v>1</v>
      </c>
      <c r="Y11" s="15">
        <v>5</v>
      </c>
      <c r="Z11" s="15">
        <v>0</v>
      </c>
      <c r="AA11" s="33">
        <f t="shared" si="1"/>
        <v>17</v>
      </c>
      <c r="AB11" s="6"/>
    </row>
    <row r="12" spans="1:28" x14ac:dyDescent="0.2">
      <c r="B12" s="13">
        <v>41802</v>
      </c>
      <c r="C12" s="33">
        <v>2</v>
      </c>
      <c r="D12" s="32" t="s">
        <v>123</v>
      </c>
      <c r="E12" s="33">
        <f>17*60</f>
        <v>1020</v>
      </c>
      <c r="F12" s="32">
        <v>0</v>
      </c>
      <c r="G12" s="33">
        <v>1</v>
      </c>
      <c r="H12" s="82">
        <v>19</v>
      </c>
      <c r="I12" s="15">
        <v>0</v>
      </c>
      <c r="J12" s="32">
        <v>14</v>
      </c>
      <c r="K12" s="15">
        <v>0</v>
      </c>
      <c r="L12" s="82">
        <v>6</v>
      </c>
      <c r="M12" s="15">
        <v>0</v>
      </c>
      <c r="N12" s="32">
        <v>14</v>
      </c>
      <c r="O12" s="15">
        <v>0</v>
      </c>
      <c r="P12" s="82">
        <v>6</v>
      </c>
      <c r="Q12" s="15">
        <v>0</v>
      </c>
      <c r="R12" s="32">
        <v>14</v>
      </c>
      <c r="S12" s="15">
        <v>0</v>
      </c>
      <c r="T12" s="82">
        <v>6</v>
      </c>
      <c r="U12" s="15">
        <v>0</v>
      </c>
      <c r="V12" s="33">
        <f t="shared" si="0"/>
        <v>20</v>
      </c>
      <c r="W12" s="32">
        <v>12</v>
      </c>
      <c r="X12" s="15">
        <v>3</v>
      </c>
      <c r="Y12" s="15">
        <v>5</v>
      </c>
      <c r="Z12" s="15">
        <v>0</v>
      </c>
      <c r="AA12" s="33">
        <f t="shared" si="1"/>
        <v>20</v>
      </c>
      <c r="AB12" s="6"/>
    </row>
    <row r="13" spans="1:28" x14ac:dyDescent="0.2">
      <c r="B13" s="13">
        <v>41802</v>
      </c>
      <c r="C13" s="33">
        <v>2</v>
      </c>
      <c r="D13" s="32" t="s">
        <v>124</v>
      </c>
      <c r="E13" s="33">
        <f>18.5*60</f>
        <v>1110</v>
      </c>
      <c r="F13" s="32">
        <v>0</v>
      </c>
      <c r="G13" s="33">
        <v>0</v>
      </c>
      <c r="H13" s="15" t="s">
        <v>247</v>
      </c>
      <c r="I13" s="15">
        <v>0</v>
      </c>
      <c r="J13" s="32">
        <v>6</v>
      </c>
      <c r="K13" s="15">
        <v>3</v>
      </c>
      <c r="L13" s="82">
        <v>5</v>
      </c>
      <c r="M13" s="15">
        <v>0</v>
      </c>
      <c r="N13" s="32">
        <v>9</v>
      </c>
      <c r="O13" s="15">
        <v>2</v>
      </c>
      <c r="P13" s="82">
        <v>4</v>
      </c>
      <c r="Q13" s="15">
        <v>0</v>
      </c>
      <c r="R13" s="32">
        <v>9</v>
      </c>
      <c r="S13" s="15">
        <v>2</v>
      </c>
      <c r="T13" s="82">
        <v>7</v>
      </c>
      <c r="U13" s="15">
        <v>0</v>
      </c>
      <c r="V13" s="33">
        <f t="shared" si="0"/>
        <v>18</v>
      </c>
      <c r="W13" s="32">
        <v>9</v>
      </c>
      <c r="X13" s="15">
        <v>4</v>
      </c>
      <c r="Y13" s="15">
        <v>3</v>
      </c>
      <c r="Z13" s="15">
        <v>0</v>
      </c>
      <c r="AA13" s="33">
        <f t="shared" si="1"/>
        <v>16</v>
      </c>
      <c r="AB13" s="6"/>
    </row>
    <row r="14" spans="1:28" x14ac:dyDescent="0.2">
      <c r="D14" s="16" t="s">
        <v>23</v>
      </c>
      <c r="E14" s="17"/>
      <c r="F14" s="16"/>
      <c r="G14" s="17"/>
      <c r="H14" s="17"/>
      <c r="I14" s="17"/>
      <c r="J14" s="16"/>
      <c r="K14" s="17"/>
      <c r="L14" s="17"/>
      <c r="M14" s="17"/>
      <c r="N14" s="16"/>
      <c r="O14" s="17"/>
      <c r="P14" s="17"/>
      <c r="Q14" s="17"/>
      <c r="R14" s="16"/>
      <c r="S14" s="17"/>
      <c r="T14" s="17"/>
      <c r="U14" s="17"/>
      <c r="V14" s="17">
        <f>AVERAGE(V8:V13)</f>
        <v>18.333333333333332</v>
      </c>
      <c r="W14" s="16"/>
      <c r="X14" s="17"/>
      <c r="Y14" s="17"/>
      <c r="Z14" s="17"/>
      <c r="AA14" s="17">
        <f>AVERAGE(AA8:AA13)</f>
        <v>18.166666666666668</v>
      </c>
      <c r="AB14" s="6"/>
    </row>
    <row r="15" spans="1:28" x14ac:dyDescent="0.2">
      <c r="D15" s="19" t="s">
        <v>14</v>
      </c>
      <c r="E15" s="20"/>
      <c r="F15" s="19"/>
      <c r="G15" s="20"/>
      <c r="H15" s="20"/>
      <c r="I15" s="20"/>
      <c r="J15" s="19"/>
      <c r="K15" s="20"/>
      <c r="L15" s="20"/>
      <c r="M15" s="20"/>
      <c r="N15" s="19"/>
      <c r="O15" s="20"/>
      <c r="P15" s="20"/>
      <c r="Q15" s="20"/>
      <c r="R15" s="19"/>
      <c r="S15" s="20"/>
      <c r="T15" s="20"/>
      <c r="U15" s="20"/>
      <c r="V15" s="20">
        <f>SUM(V8:V13)</f>
        <v>55</v>
      </c>
      <c r="W15" s="19"/>
      <c r="X15" s="20"/>
      <c r="Y15" s="20"/>
      <c r="Z15" s="20"/>
      <c r="AA15" s="20">
        <f>SUM(AA8:AA13)</f>
        <v>109</v>
      </c>
      <c r="AB15" s="6"/>
    </row>
    <row r="16" spans="1:28" x14ac:dyDescent="0.2">
      <c r="A16" s="23"/>
      <c r="B16" s="23"/>
      <c r="C16" s="23"/>
      <c r="D16" s="24" t="s">
        <v>24</v>
      </c>
      <c r="E16" s="23"/>
      <c r="F16" s="25"/>
      <c r="G16" s="23"/>
      <c r="H16" s="23"/>
      <c r="I16" s="23"/>
      <c r="J16" s="25"/>
      <c r="K16" s="23"/>
      <c r="L16" s="23"/>
      <c r="M16" s="23"/>
      <c r="N16" s="25"/>
      <c r="O16" s="23"/>
      <c r="P16" s="23"/>
      <c r="Q16" s="23"/>
      <c r="R16" s="25"/>
      <c r="S16" s="23"/>
      <c r="T16" s="23"/>
      <c r="U16" s="23"/>
      <c r="V16" s="26"/>
      <c r="W16" s="25"/>
      <c r="X16" s="23"/>
      <c r="Y16" s="23"/>
      <c r="Z16" s="23"/>
      <c r="AA16" s="23"/>
      <c r="AB16" s="25"/>
    </row>
    <row r="17" spans="1:28" x14ac:dyDescent="0.2">
      <c r="B17" s="13">
        <v>41562</v>
      </c>
      <c r="C17" s="33">
        <v>24</v>
      </c>
      <c r="D17" s="6" t="s">
        <v>125</v>
      </c>
      <c r="E17" s="14">
        <f>75*60</f>
        <v>4500</v>
      </c>
      <c r="F17" s="6">
        <v>0</v>
      </c>
      <c r="G17">
        <v>0</v>
      </c>
      <c r="H17" t="s">
        <v>247</v>
      </c>
      <c r="I17">
        <v>0</v>
      </c>
      <c r="J17" s="6">
        <v>3</v>
      </c>
      <c r="K17">
        <v>3</v>
      </c>
      <c r="L17" t="s">
        <v>247</v>
      </c>
      <c r="M17">
        <v>0</v>
      </c>
      <c r="N17" s="6">
        <v>8</v>
      </c>
      <c r="O17">
        <v>0</v>
      </c>
      <c r="P17" t="s">
        <v>247</v>
      </c>
      <c r="Q17">
        <v>0</v>
      </c>
      <c r="R17" s="6">
        <v>11</v>
      </c>
      <c r="S17">
        <v>5</v>
      </c>
      <c r="T17" s="85" t="s">
        <v>247</v>
      </c>
      <c r="U17">
        <v>0</v>
      </c>
      <c r="V17" s="14" t="s">
        <v>247</v>
      </c>
      <c r="W17" s="6">
        <v>9</v>
      </c>
      <c r="X17">
        <v>6</v>
      </c>
      <c r="Y17">
        <v>5</v>
      </c>
      <c r="Z17">
        <v>0</v>
      </c>
      <c r="AA17" s="14">
        <f t="shared" ref="AA17:AA22" si="2">SUM(W17:Z17)</f>
        <v>20</v>
      </c>
      <c r="AB17" s="6"/>
    </row>
    <row r="18" spans="1:28" x14ac:dyDescent="0.2">
      <c r="B18" s="13">
        <v>41562</v>
      </c>
      <c r="C18" s="33">
        <v>24</v>
      </c>
      <c r="D18" s="32" t="s">
        <v>126</v>
      </c>
      <c r="E18" s="33">
        <f>25*60</f>
        <v>1500</v>
      </c>
      <c r="F18" s="32">
        <v>0</v>
      </c>
      <c r="G18" s="33">
        <v>0</v>
      </c>
      <c r="H18" s="33" t="s">
        <v>247</v>
      </c>
      <c r="I18" s="33">
        <v>0</v>
      </c>
      <c r="J18" s="32">
        <v>7</v>
      </c>
      <c r="K18" s="33">
        <v>4</v>
      </c>
      <c r="L18" s="33" t="s">
        <v>247</v>
      </c>
      <c r="M18" s="33">
        <v>0</v>
      </c>
      <c r="N18" s="32">
        <v>9</v>
      </c>
      <c r="O18" s="33">
        <v>1</v>
      </c>
      <c r="P18" s="33" t="s">
        <v>247</v>
      </c>
      <c r="Q18" s="33">
        <v>0</v>
      </c>
      <c r="R18" s="32">
        <v>12</v>
      </c>
      <c r="S18" s="33">
        <v>2</v>
      </c>
      <c r="T18" s="33">
        <v>0</v>
      </c>
      <c r="U18" s="33">
        <v>0</v>
      </c>
      <c r="V18" s="33">
        <f t="shared" ref="V18" si="3">SUM(R18:U18)</f>
        <v>14</v>
      </c>
      <c r="W18" s="32">
        <v>13</v>
      </c>
      <c r="X18" s="33">
        <v>1</v>
      </c>
      <c r="Y18" s="33">
        <v>0</v>
      </c>
      <c r="Z18" s="33">
        <v>0</v>
      </c>
      <c r="AA18" s="33">
        <f t="shared" si="2"/>
        <v>14</v>
      </c>
      <c r="AB18" s="6"/>
    </row>
    <row r="19" spans="1:28" x14ac:dyDescent="0.2">
      <c r="B19" s="13">
        <v>41562</v>
      </c>
      <c r="C19" s="33">
        <v>24</v>
      </c>
      <c r="D19" s="32" t="s">
        <v>127</v>
      </c>
      <c r="E19" s="33">
        <f>44*60</f>
        <v>2640</v>
      </c>
      <c r="F19" s="32">
        <v>0</v>
      </c>
      <c r="G19" s="33">
        <v>0</v>
      </c>
      <c r="H19" s="33" t="s">
        <v>247</v>
      </c>
      <c r="I19" s="33">
        <v>0</v>
      </c>
      <c r="J19" s="86">
        <v>10</v>
      </c>
      <c r="K19" s="85">
        <v>1</v>
      </c>
      <c r="L19" s="33" t="s">
        <v>247</v>
      </c>
      <c r="M19" s="33">
        <v>0</v>
      </c>
      <c r="N19" s="32">
        <v>10</v>
      </c>
      <c r="O19" s="33">
        <v>1</v>
      </c>
      <c r="P19" s="33" t="s">
        <v>247</v>
      </c>
      <c r="Q19" s="33">
        <v>0</v>
      </c>
      <c r="R19" s="32">
        <v>13</v>
      </c>
      <c r="S19" s="33">
        <v>1</v>
      </c>
      <c r="T19" s="85" t="s">
        <v>247</v>
      </c>
      <c r="U19" s="33">
        <v>0</v>
      </c>
      <c r="V19" s="33" t="s">
        <v>247</v>
      </c>
      <c r="W19" s="32">
        <v>13</v>
      </c>
      <c r="X19" s="33">
        <v>3</v>
      </c>
      <c r="Y19" s="33">
        <v>6</v>
      </c>
      <c r="Z19" s="33">
        <v>0</v>
      </c>
      <c r="AA19" s="33">
        <f t="shared" si="2"/>
        <v>22</v>
      </c>
      <c r="AB19" s="6"/>
    </row>
    <row r="20" spans="1:28" x14ac:dyDescent="0.2">
      <c r="B20" s="13">
        <v>41591</v>
      </c>
      <c r="C20" s="33">
        <v>24</v>
      </c>
      <c r="D20" s="32" t="s">
        <v>128</v>
      </c>
      <c r="E20" s="33">
        <f>18*60</f>
        <v>1080</v>
      </c>
      <c r="F20" s="32">
        <v>0</v>
      </c>
      <c r="G20" s="33">
        <v>2</v>
      </c>
      <c r="H20" s="33" t="s">
        <v>247</v>
      </c>
      <c r="I20" s="33">
        <v>0</v>
      </c>
      <c r="J20" s="32">
        <v>1</v>
      </c>
      <c r="K20" s="15">
        <v>2</v>
      </c>
      <c r="L20" s="15" t="s">
        <v>247</v>
      </c>
      <c r="M20" s="15">
        <v>0</v>
      </c>
      <c r="N20" s="32">
        <v>2</v>
      </c>
      <c r="O20" s="15">
        <v>2</v>
      </c>
      <c r="P20" s="15" t="s">
        <v>247</v>
      </c>
      <c r="Q20" s="15">
        <v>0</v>
      </c>
      <c r="R20" s="32">
        <v>7</v>
      </c>
      <c r="S20" s="33">
        <v>5</v>
      </c>
      <c r="T20" s="85" t="s">
        <v>247</v>
      </c>
      <c r="U20" s="33">
        <v>0</v>
      </c>
      <c r="V20" s="33" t="s">
        <v>247</v>
      </c>
      <c r="W20" s="32">
        <v>5</v>
      </c>
      <c r="X20" s="15">
        <v>7</v>
      </c>
      <c r="Y20" s="15">
        <v>8</v>
      </c>
      <c r="Z20" s="15">
        <v>0</v>
      </c>
      <c r="AA20" s="33">
        <f t="shared" si="2"/>
        <v>20</v>
      </c>
      <c r="AB20" s="6"/>
    </row>
    <row r="21" spans="1:28" x14ac:dyDescent="0.2">
      <c r="A21" s="85" t="s">
        <v>266</v>
      </c>
      <c r="B21" s="13">
        <v>41591</v>
      </c>
      <c r="C21" s="33">
        <v>24</v>
      </c>
      <c r="D21" s="32" t="s">
        <v>129</v>
      </c>
      <c r="E21" s="33">
        <f>20*60</f>
        <v>1200</v>
      </c>
      <c r="F21" s="32">
        <v>0</v>
      </c>
      <c r="G21" s="33">
        <v>2</v>
      </c>
      <c r="H21" s="33" t="s">
        <v>247</v>
      </c>
      <c r="I21" s="33">
        <v>0</v>
      </c>
      <c r="J21" s="32">
        <v>0</v>
      </c>
      <c r="K21" s="15">
        <v>2</v>
      </c>
      <c r="L21" s="15" t="s">
        <v>247</v>
      </c>
      <c r="M21" s="15">
        <v>0</v>
      </c>
      <c r="N21" s="32">
        <v>0</v>
      </c>
      <c r="O21" s="15">
        <v>3</v>
      </c>
      <c r="P21" s="15" t="s">
        <v>247</v>
      </c>
      <c r="Q21" s="15">
        <v>0</v>
      </c>
      <c r="R21" s="32">
        <v>1</v>
      </c>
      <c r="S21" s="33">
        <v>10</v>
      </c>
      <c r="T21" s="85" t="s">
        <v>247</v>
      </c>
      <c r="U21" s="33">
        <v>1</v>
      </c>
      <c r="V21" s="33" t="s">
        <v>247</v>
      </c>
      <c r="W21" s="32">
        <v>3</v>
      </c>
      <c r="X21" s="15">
        <v>7</v>
      </c>
      <c r="Y21" s="15">
        <v>7</v>
      </c>
      <c r="Z21" s="15">
        <v>2</v>
      </c>
      <c r="AA21" s="33">
        <f t="shared" si="2"/>
        <v>19</v>
      </c>
      <c r="AB21" s="6"/>
    </row>
    <row r="22" spans="1:28" x14ac:dyDescent="0.2">
      <c r="A22" t="s">
        <v>149</v>
      </c>
      <c r="B22" s="13">
        <v>41591</v>
      </c>
      <c r="C22" s="33">
        <v>24</v>
      </c>
      <c r="D22" s="47" t="s">
        <v>130</v>
      </c>
      <c r="E22" s="48"/>
      <c r="F22" s="47">
        <v>1</v>
      </c>
      <c r="G22" s="48">
        <v>1</v>
      </c>
      <c r="H22" s="48" t="s">
        <v>247</v>
      </c>
      <c r="I22" s="48">
        <v>0</v>
      </c>
      <c r="J22" s="47">
        <v>0</v>
      </c>
      <c r="K22" s="49">
        <v>2</v>
      </c>
      <c r="L22" s="49" t="s">
        <v>247</v>
      </c>
      <c r="M22" s="49">
        <v>0</v>
      </c>
      <c r="N22" s="47">
        <v>1</v>
      </c>
      <c r="O22" s="49">
        <v>1</v>
      </c>
      <c r="P22" s="49" t="s">
        <v>247</v>
      </c>
      <c r="Q22" s="49">
        <v>0</v>
      </c>
      <c r="R22" s="47">
        <v>8</v>
      </c>
      <c r="S22" s="49">
        <v>0</v>
      </c>
      <c r="T22" s="90" t="s">
        <v>247</v>
      </c>
      <c r="U22" s="49">
        <v>0</v>
      </c>
      <c r="V22" s="48" t="s">
        <v>247</v>
      </c>
      <c r="W22" s="47">
        <v>9</v>
      </c>
      <c r="X22" s="49">
        <v>2</v>
      </c>
      <c r="Y22" s="49">
        <v>2</v>
      </c>
      <c r="Z22" s="49">
        <v>0</v>
      </c>
      <c r="AA22" s="48">
        <f t="shared" si="2"/>
        <v>13</v>
      </c>
      <c r="AB22" s="6"/>
    </row>
    <row r="23" spans="1:28" x14ac:dyDescent="0.2">
      <c r="D23" s="16" t="s">
        <v>23</v>
      </c>
      <c r="E23" s="17"/>
      <c r="F23" s="16"/>
      <c r="G23" s="17"/>
      <c r="H23" s="17"/>
      <c r="I23" s="17"/>
      <c r="J23" s="16"/>
      <c r="K23" s="17"/>
      <c r="L23" s="17"/>
      <c r="M23" s="17"/>
      <c r="N23" s="16"/>
      <c r="O23" s="17"/>
      <c r="P23" s="17"/>
      <c r="Q23" s="17"/>
      <c r="R23" s="16"/>
      <c r="S23" s="17"/>
      <c r="T23" s="17"/>
      <c r="U23" s="17"/>
      <c r="V23" s="17">
        <f>AVERAGE(V17:V22)</f>
        <v>14</v>
      </c>
      <c r="W23" s="16"/>
      <c r="X23" s="17"/>
      <c r="Y23" s="17"/>
      <c r="Z23" s="17"/>
      <c r="AA23" s="17">
        <f>AVERAGE(AA17:AA21)</f>
        <v>19</v>
      </c>
      <c r="AB23" s="6"/>
    </row>
    <row r="24" spans="1:28" x14ac:dyDescent="0.2">
      <c r="D24" s="19" t="s">
        <v>14</v>
      </c>
      <c r="E24" s="20"/>
      <c r="F24" s="19"/>
      <c r="G24" s="20"/>
      <c r="H24" s="20"/>
      <c r="I24" s="20"/>
      <c r="J24" s="19"/>
      <c r="K24" s="20"/>
      <c r="L24" s="20"/>
      <c r="M24" s="20"/>
      <c r="N24" s="19"/>
      <c r="O24" s="20"/>
      <c r="P24" s="20"/>
      <c r="Q24" s="20"/>
      <c r="R24" s="19"/>
      <c r="S24" s="20"/>
      <c r="T24" s="20"/>
      <c r="U24" s="20"/>
      <c r="V24" s="20">
        <f>SUM(V17:V22)</f>
        <v>14</v>
      </c>
      <c r="W24" s="19"/>
      <c r="X24" s="20"/>
      <c r="Y24" s="20"/>
      <c r="Z24" s="20"/>
      <c r="AA24" s="20">
        <f>SUM(AA17:AA21)</f>
        <v>95</v>
      </c>
      <c r="AB24" s="6"/>
    </row>
    <row r="25" spans="1:28" x14ac:dyDescent="0.2">
      <c r="A25" s="23"/>
      <c r="B25" s="23"/>
      <c r="C25" s="23"/>
      <c r="D25" s="24" t="s">
        <v>33</v>
      </c>
      <c r="E25" s="23"/>
      <c r="F25" s="25"/>
      <c r="G25" s="23"/>
      <c r="H25" s="23"/>
      <c r="I25" s="23"/>
      <c r="J25" s="25"/>
      <c r="K25" s="23"/>
      <c r="L25" s="23"/>
      <c r="M25" s="23"/>
      <c r="N25" s="25"/>
      <c r="O25" s="23"/>
      <c r="P25" s="23"/>
      <c r="Q25" s="23"/>
      <c r="R25" s="25"/>
      <c r="S25" s="23"/>
      <c r="T25" s="23"/>
      <c r="U25" s="23"/>
      <c r="V25" s="26"/>
      <c r="W25" s="25"/>
      <c r="X25" s="23"/>
      <c r="Y25" s="23"/>
      <c r="Z25" s="23"/>
      <c r="AA25" s="23"/>
      <c r="AB25" s="25"/>
    </row>
    <row r="26" spans="1:28" x14ac:dyDescent="0.2">
      <c r="B26" s="13">
        <v>41564</v>
      </c>
      <c r="C26" s="33">
        <v>48</v>
      </c>
      <c r="D26" s="6" t="s">
        <v>131</v>
      </c>
      <c r="E26" s="14">
        <f>25*60</f>
        <v>1500</v>
      </c>
      <c r="F26" s="6">
        <v>0</v>
      </c>
      <c r="G26">
        <v>0</v>
      </c>
      <c r="H26" t="s">
        <v>247</v>
      </c>
      <c r="I26">
        <v>0</v>
      </c>
      <c r="J26" s="6">
        <v>0</v>
      </c>
      <c r="K26" s="15">
        <v>1</v>
      </c>
      <c r="L26" s="15" t="s">
        <v>247</v>
      </c>
      <c r="M26" s="15">
        <v>0</v>
      </c>
      <c r="N26" s="6">
        <v>4</v>
      </c>
      <c r="O26" s="15">
        <v>0</v>
      </c>
      <c r="P26" s="15" t="s">
        <v>247</v>
      </c>
      <c r="Q26" s="15">
        <v>0</v>
      </c>
      <c r="R26" s="6">
        <v>18</v>
      </c>
      <c r="S26">
        <v>0</v>
      </c>
      <c r="T26">
        <v>0</v>
      </c>
      <c r="U26">
        <v>0</v>
      </c>
      <c r="V26" s="14">
        <f t="shared" ref="V26:V31" si="4">SUM(R26:U26)</f>
        <v>18</v>
      </c>
      <c r="W26" s="6">
        <v>17</v>
      </c>
      <c r="X26" s="82">
        <v>3</v>
      </c>
      <c r="Y26" s="15">
        <v>0</v>
      </c>
      <c r="Z26" s="15">
        <v>0</v>
      </c>
      <c r="AA26" s="14">
        <f t="shared" ref="AA26:AA31" si="5">SUM(W26:Z26)</f>
        <v>20</v>
      </c>
      <c r="AB26" s="6"/>
    </row>
    <row r="27" spans="1:28" x14ac:dyDescent="0.2">
      <c r="B27" s="13">
        <v>41564</v>
      </c>
      <c r="C27" s="33">
        <v>48</v>
      </c>
      <c r="D27" s="32" t="s">
        <v>132</v>
      </c>
      <c r="E27" s="33">
        <f>28*60</f>
        <v>1680</v>
      </c>
      <c r="F27" s="32">
        <v>0</v>
      </c>
      <c r="G27" s="33">
        <v>0</v>
      </c>
      <c r="H27" s="33" t="s">
        <v>247</v>
      </c>
      <c r="I27" s="33">
        <v>0</v>
      </c>
      <c r="J27" s="32">
        <v>1</v>
      </c>
      <c r="K27" s="15">
        <v>1</v>
      </c>
      <c r="L27" s="15" t="s">
        <v>247</v>
      </c>
      <c r="M27" s="15">
        <v>0</v>
      </c>
      <c r="N27" s="32">
        <v>3</v>
      </c>
      <c r="O27" s="15">
        <v>1</v>
      </c>
      <c r="P27" s="15" t="s">
        <v>247</v>
      </c>
      <c r="Q27" s="15">
        <v>0</v>
      </c>
      <c r="R27" s="32">
        <v>16</v>
      </c>
      <c r="S27" s="33">
        <v>0</v>
      </c>
      <c r="T27" s="33">
        <v>0</v>
      </c>
      <c r="U27" s="33">
        <v>0</v>
      </c>
      <c r="V27" s="33">
        <f t="shared" si="4"/>
        <v>16</v>
      </c>
      <c r="W27" s="32">
        <v>10</v>
      </c>
      <c r="X27" s="15">
        <v>1</v>
      </c>
      <c r="Y27" s="15">
        <v>3</v>
      </c>
      <c r="Z27" s="15">
        <v>0</v>
      </c>
      <c r="AA27" s="33">
        <f t="shared" si="5"/>
        <v>14</v>
      </c>
      <c r="AB27" s="6"/>
    </row>
    <row r="28" spans="1:28" x14ac:dyDescent="0.2">
      <c r="B28" s="13">
        <v>41564</v>
      </c>
      <c r="C28" s="33">
        <v>48</v>
      </c>
      <c r="D28" s="6" t="s">
        <v>133</v>
      </c>
      <c r="E28" s="14">
        <f>80*60</f>
        <v>4800</v>
      </c>
      <c r="F28" s="6">
        <v>0</v>
      </c>
      <c r="G28">
        <v>0</v>
      </c>
      <c r="H28" t="s">
        <v>247</v>
      </c>
      <c r="I28">
        <v>0</v>
      </c>
      <c r="J28" s="6">
        <v>1</v>
      </c>
      <c r="K28" s="15">
        <v>3</v>
      </c>
      <c r="L28" s="15" t="s">
        <v>247</v>
      </c>
      <c r="M28" s="15">
        <v>0</v>
      </c>
      <c r="N28" s="6">
        <v>4</v>
      </c>
      <c r="O28" s="15">
        <v>1</v>
      </c>
      <c r="P28" s="15" t="s">
        <v>247</v>
      </c>
      <c r="Q28" s="15">
        <v>0</v>
      </c>
      <c r="R28" s="6">
        <v>21</v>
      </c>
      <c r="S28">
        <v>1</v>
      </c>
      <c r="T28">
        <v>0</v>
      </c>
      <c r="U28">
        <v>0</v>
      </c>
      <c r="V28" s="14">
        <f t="shared" si="4"/>
        <v>22</v>
      </c>
      <c r="W28" s="6">
        <v>17</v>
      </c>
      <c r="X28" s="15">
        <v>2</v>
      </c>
      <c r="Y28" s="15">
        <v>2</v>
      </c>
      <c r="Z28" s="15">
        <v>1</v>
      </c>
      <c r="AA28" s="14">
        <f t="shared" si="5"/>
        <v>22</v>
      </c>
      <c r="AB28" s="6"/>
    </row>
    <row r="29" spans="1:28" x14ac:dyDescent="0.2">
      <c r="A29" t="s">
        <v>150</v>
      </c>
      <c r="B29" s="13">
        <v>41591</v>
      </c>
      <c r="C29" s="33">
        <v>48</v>
      </c>
      <c r="D29" s="6" t="s">
        <v>134</v>
      </c>
      <c r="E29" s="14">
        <f>15.5*60</f>
        <v>930</v>
      </c>
      <c r="F29" s="6">
        <v>0</v>
      </c>
      <c r="G29">
        <v>0</v>
      </c>
      <c r="H29" t="s">
        <v>247</v>
      </c>
      <c r="I29">
        <v>0</v>
      </c>
      <c r="J29" s="6">
        <v>1</v>
      </c>
      <c r="K29" s="15">
        <v>4</v>
      </c>
      <c r="L29" s="15" t="s">
        <v>247</v>
      </c>
      <c r="M29" s="15">
        <v>0</v>
      </c>
      <c r="N29" s="6">
        <v>3</v>
      </c>
      <c r="O29" s="15">
        <v>3</v>
      </c>
      <c r="P29" s="15" t="s">
        <v>247</v>
      </c>
      <c r="Q29" s="15">
        <v>0</v>
      </c>
      <c r="R29" s="6">
        <v>17</v>
      </c>
      <c r="S29">
        <v>4</v>
      </c>
      <c r="T29">
        <v>0</v>
      </c>
      <c r="U29">
        <v>0</v>
      </c>
      <c r="V29" s="14">
        <f t="shared" si="4"/>
        <v>21</v>
      </c>
      <c r="W29" s="6">
        <v>14</v>
      </c>
      <c r="X29" s="15">
        <v>3</v>
      </c>
      <c r="Y29" s="15">
        <v>2</v>
      </c>
      <c r="Z29" s="15">
        <v>0</v>
      </c>
      <c r="AA29" s="14">
        <f t="shared" si="5"/>
        <v>19</v>
      </c>
      <c r="AB29" s="6"/>
    </row>
    <row r="30" spans="1:28" x14ac:dyDescent="0.2">
      <c r="B30" s="13">
        <v>41591</v>
      </c>
      <c r="C30" s="33">
        <v>48</v>
      </c>
      <c r="D30" s="6" t="s">
        <v>135</v>
      </c>
      <c r="E30" s="14">
        <f>13</f>
        <v>13</v>
      </c>
      <c r="F30" s="6">
        <v>0</v>
      </c>
      <c r="G30">
        <v>2</v>
      </c>
      <c r="H30" t="s">
        <v>247</v>
      </c>
      <c r="I30">
        <v>0</v>
      </c>
      <c r="J30" s="6">
        <v>3</v>
      </c>
      <c r="K30" s="15">
        <v>2</v>
      </c>
      <c r="L30" s="15" t="s">
        <v>247</v>
      </c>
      <c r="M30" s="15">
        <v>0</v>
      </c>
      <c r="N30" s="6">
        <v>5</v>
      </c>
      <c r="O30" s="15">
        <v>3</v>
      </c>
      <c r="P30" s="15" t="s">
        <v>247</v>
      </c>
      <c r="Q30" s="15">
        <v>0</v>
      </c>
      <c r="R30" s="6">
        <v>12</v>
      </c>
      <c r="S30">
        <v>7</v>
      </c>
      <c r="T30">
        <v>0</v>
      </c>
      <c r="U30">
        <v>0</v>
      </c>
      <c r="V30" s="14">
        <f t="shared" si="4"/>
        <v>19</v>
      </c>
      <c r="W30" s="6">
        <v>13</v>
      </c>
      <c r="X30" s="15">
        <v>4</v>
      </c>
      <c r="Y30" s="15">
        <v>0</v>
      </c>
      <c r="Z30" s="15">
        <v>0</v>
      </c>
      <c r="AA30" s="14">
        <f t="shared" si="5"/>
        <v>17</v>
      </c>
      <c r="AB30" s="6"/>
    </row>
    <row r="31" spans="1:28" x14ac:dyDescent="0.2">
      <c r="A31" s="27"/>
      <c r="B31" s="13">
        <v>41591</v>
      </c>
      <c r="C31" s="33">
        <v>48</v>
      </c>
      <c r="D31" s="6" t="s">
        <v>136</v>
      </c>
      <c r="E31" s="14">
        <f>11.5*60</f>
        <v>690</v>
      </c>
      <c r="F31" s="6">
        <v>0</v>
      </c>
      <c r="G31">
        <v>0</v>
      </c>
      <c r="H31" t="s">
        <v>247</v>
      </c>
      <c r="I31">
        <v>0</v>
      </c>
      <c r="J31" s="6">
        <v>3</v>
      </c>
      <c r="K31" s="15">
        <v>3</v>
      </c>
      <c r="L31" s="15" t="s">
        <v>247</v>
      </c>
      <c r="M31" s="15">
        <v>0</v>
      </c>
      <c r="N31" s="6">
        <v>5</v>
      </c>
      <c r="O31" s="15">
        <v>4</v>
      </c>
      <c r="P31" s="15" t="s">
        <v>247</v>
      </c>
      <c r="Q31" s="15">
        <v>0</v>
      </c>
      <c r="R31" s="6">
        <v>21</v>
      </c>
      <c r="S31">
        <v>1</v>
      </c>
      <c r="T31">
        <v>1</v>
      </c>
      <c r="U31">
        <v>0</v>
      </c>
      <c r="V31" s="14">
        <f t="shared" si="4"/>
        <v>23</v>
      </c>
      <c r="W31" s="6">
        <v>19</v>
      </c>
      <c r="X31" s="15">
        <v>2</v>
      </c>
      <c r="Y31" s="15">
        <v>0</v>
      </c>
      <c r="Z31" s="15">
        <v>1</v>
      </c>
      <c r="AA31" s="14">
        <f t="shared" si="5"/>
        <v>22</v>
      </c>
      <c r="AB31" s="6"/>
    </row>
    <row r="32" spans="1:28" x14ac:dyDescent="0.2">
      <c r="A32" s="27"/>
      <c r="B32" s="27"/>
      <c r="D32" s="16" t="s">
        <v>23</v>
      </c>
      <c r="E32" s="17"/>
      <c r="F32" s="16"/>
      <c r="G32" s="17"/>
      <c r="H32" s="17"/>
      <c r="I32" s="17"/>
      <c r="J32" s="16"/>
      <c r="K32" s="17"/>
      <c r="L32" s="17"/>
      <c r="M32" s="17"/>
      <c r="N32" s="16"/>
      <c r="O32" s="17"/>
      <c r="P32" s="17"/>
      <c r="Q32" s="17"/>
      <c r="R32" s="16"/>
      <c r="S32" s="17"/>
      <c r="T32" s="17"/>
      <c r="U32" s="17"/>
      <c r="V32" s="17">
        <f>AVERAGE(V26:V31)</f>
        <v>19.833333333333332</v>
      </c>
      <c r="W32" s="16"/>
      <c r="X32" s="17"/>
      <c r="Y32" s="17"/>
      <c r="Z32" s="17"/>
      <c r="AA32" s="17">
        <f>AVERAGE(AA26:AA31)</f>
        <v>19</v>
      </c>
      <c r="AB32" s="6"/>
    </row>
    <row r="33" spans="1:28" x14ac:dyDescent="0.2">
      <c r="A33" s="27"/>
      <c r="B33" s="27"/>
      <c r="D33" s="64" t="s">
        <v>14</v>
      </c>
      <c r="E33" s="61"/>
      <c r="F33" s="64"/>
      <c r="G33" s="61"/>
      <c r="H33" s="61"/>
      <c r="I33" s="61"/>
      <c r="J33" s="64"/>
      <c r="K33" s="61"/>
      <c r="L33" s="61"/>
      <c r="M33" s="61"/>
      <c r="N33" s="64"/>
      <c r="O33" s="61"/>
      <c r="P33" s="61"/>
      <c r="Q33" s="61"/>
      <c r="R33" s="64"/>
      <c r="S33" s="61"/>
      <c r="T33" s="61"/>
      <c r="U33" s="61"/>
      <c r="V33" s="61">
        <f>SUM(V26:V31)</f>
        <v>119</v>
      </c>
      <c r="W33" s="64"/>
      <c r="X33" s="61"/>
      <c r="Y33" s="61"/>
      <c r="Z33" s="61"/>
      <c r="AA33" s="62">
        <f>SUM(AA26:AA31)</f>
        <v>114</v>
      </c>
      <c r="AB33" s="6"/>
    </row>
    <row r="34" spans="1:28" x14ac:dyDescent="0.2">
      <c r="A34" s="23"/>
      <c r="B34" s="23"/>
    </row>
    <row r="35" spans="1:28" x14ac:dyDescent="0.2">
      <c r="A35" s="27"/>
      <c r="B35" s="27"/>
    </row>
    <row r="36" spans="1:28" x14ac:dyDescent="0.2">
      <c r="A36" s="27"/>
      <c r="B36" s="27"/>
      <c r="C36" s="23"/>
    </row>
    <row r="37" spans="1:28" x14ac:dyDescent="0.2">
      <c r="A37" s="27"/>
      <c r="B37" s="27"/>
    </row>
    <row r="38" spans="1:28" x14ac:dyDescent="0.2">
      <c r="A38" s="27"/>
      <c r="B38" s="27"/>
    </row>
    <row r="39" spans="1:28" x14ac:dyDescent="0.2">
      <c r="A39" s="27"/>
      <c r="B39" s="27"/>
    </row>
    <row r="43" spans="1:28" x14ac:dyDescent="0.2">
      <c r="C43" s="81"/>
    </row>
    <row r="44" spans="1:28" x14ac:dyDescent="0.2">
      <c r="C44" s="27"/>
    </row>
    <row r="45" spans="1:28" x14ac:dyDescent="0.2">
      <c r="C45" s="23"/>
    </row>
    <row r="54" spans="3:3" x14ac:dyDescent="0.2">
      <c r="C54" s="23"/>
    </row>
    <row r="68" spans="3:3" x14ac:dyDescent="0.2">
      <c r="C68" s="23"/>
    </row>
    <row r="77" spans="3:3" x14ac:dyDescent="0.2">
      <c r="C77" s="23"/>
    </row>
    <row r="86" spans="3:3" x14ac:dyDescent="0.2">
      <c r="C86" s="23"/>
    </row>
    <row r="87" spans="3:3" x14ac:dyDescent="0.2">
      <c r="C87" s="39"/>
    </row>
    <row r="95" spans="3:3" x14ac:dyDescent="0.2">
      <c r="C95" s="23"/>
    </row>
    <row r="102" spans="3:3" x14ac:dyDescent="0.2">
      <c r="C102" s="15"/>
    </row>
    <row r="103" spans="3:3" x14ac:dyDescent="0.2">
      <c r="C103" s="15"/>
    </row>
    <row r="104" spans="3:3" x14ac:dyDescent="0.2">
      <c r="C104" s="15"/>
    </row>
    <row r="105" spans="3:3" x14ac:dyDescent="0.2">
      <c r="C105" s="15"/>
    </row>
    <row r="106" spans="3:3" x14ac:dyDescent="0.2">
      <c r="C106" s="23"/>
    </row>
    <row r="107" spans="3:3" x14ac:dyDescent="0.2">
      <c r="C107" s="13"/>
    </row>
    <row r="108" spans="3:3" x14ac:dyDescent="0.2">
      <c r="C108" s="13"/>
    </row>
    <row r="109" spans="3:3" x14ac:dyDescent="0.2">
      <c r="C109" s="13"/>
    </row>
    <row r="110" spans="3:3" x14ac:dyDescent="0.2">
      <c r="C110" s="13"/>
    </row>
    <row r="111" spans="3:3" x14ac:dyDescent="0.2">
      <c r="C111" s="13"/>
    </row>
    <row r="112" spans="3:3" x14ac:dyDescent="0.2">
      <c r="C112" s="13"/>
    </row>
    <row r="113" spans="3:3" x14ac:dyDescent="0.2">
      <c r="C113" s="13"/>
    </row>
    <row r="114" spans="3:3" x14ac:dyDescent="0.2">
      <c r="C114" s="13"/>
    </row>
    <row r="115" spans="3:3" x14ac:dyDescent="0.2">
      <c r="C115" s="13"/>
    </row>
    <row r="116" spans="3:3" x14ac:dyDescent="0.2">
      <c r="C116" s="13"/>
    </row>
    <row r="117" spans="3:3" x14ac:dyDescent="0.2">
      <c r="C117" s="13"/>
    </row>
    <row r="118" spans="3:3" x14ac:dyDescent="0.2">
      <c r="C118" s="13"/>
    </row>
    <row r="119" spans="3:3" x14ac:dyDescent="0.2">
      <c r="C119" s="13"/>
    </row>
    <row r="120" spans="3:3" x14ac:dyDescent="0.2">
      <c r="C120" s="13"/>
    </row>
    <row r="122" spans="3:3" x14ac:dyDescent="0.2">
      <c r="C122" s="60"/>
    </row>
  </sheetData>
  <pageMargins left="0.7" right="0.7" top="0.75" bottom="0.75"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6"/>
  <sheetViews>
    <sheetView workbookViewId="0">
      <pane xSplit="2" ySplit="2" topLeftCell="C79" activePane="bottomRight" state="frozen"/>
      <selection pane="topRight" activeCell="C1" sqref="C1"/>
      <selection pane="bottomLeft" activeCell="A3" sqref="A3"/>
      <selection pane="bottomRight" activeCell="B102" sqref="B102"/>
    </sheetView>
  </sheetViews>
  <sheetFormatPr baseColWidth="10" defaultColWidth="8.83203125" defaultRowHeight="15" x14ac:dyDescent="0.2"/>
  <cols>
    <col min="1" max="1" width="12.6640625" bestFit="1" customWidth="1"/>
    <col min="2" max="2" width="17.6640625" bestFit="1" customWidth="1"/>
    <col min="3" max="4" width="17.6640625" style="33" customWidth="1"/>
    <col min="5" max="5" width="17.83203125" bestFit="1" customWidth="1"/>
    <col min="7" max="7" width="6.33203125" bestFit="1" customWidth="1"/>
    <col min="8" max="8" width="2.5" bestFit="1" customWidth="1"/>
    <col min="9" max="9" width="3" bestFit="1" customWidth="1"/>
    <col min="10" max="10" width="2.5" bestFit="1" customWidth="1"/>
    <col min="11" max="11" width="3.5" customWidth="1"/>
    <col min="12" max="12" width="3.6640625" bestFit="1" customWidth="1"/>
    <col min="13" max="13" width="3.33203125" customWidth="1"/>
    <col min="14" max="14" width="3" bestFit="1" customWidth="1"/>
    <col min="15" max="15" width="3.83203125" bestFit="1" customWidth="1"/>
    <col min="16" max="16" width="5.33203125" bestFit="1" customWidth="1"/>
    <col min="17" max="17" width="4" bestFit="1" customWidth="1"/>
    <col min="18" max="18" width="2.5" bestFit="1" customWidth="1"/>
    <col min="19" max="19" width="3" bestFit="1" customWidth="1"/>
    <col min="20" max="20" width="2.5" bestFit="1" customWidth="1"/>
    <col min="21" max="21" width="5.33203125" bestFit="1" customWidth="1"/>
    <col min="22" max="22" width="3.6640625" bestFit="1" customWidth="1"/>
    <col min="23" max="23" width="5.1640625" customWidth="1"/>
    <col min="24" max="24" width="3.33203125" bestFit="1" customWidth="1"/>
    <col min="25" max="25" width="2.5" bestFit="1" customWidth="1"/>
    <col min="26" max="26" width="5" customWidth="1"/>
    <col min="27" max="27" width="5.1640625" bestFit="1" customWidth="1"/>
    <col min="28" max="28" width="5.33203125" customWidth="1"/>
    <col min="29" max="29" width="3" bestFit="1" customWidth="1"/>
    <col min="30" max="30" width="2.5" bestFit="1" customWidth="1"/>
    <col min="31" max="31" width="5.5" customWidth="1"/>
  </cols>
  <sheetData>
    <row r="1" spans="1:28" x14ac:dyDescent="0.2">
      <c r="A1" s="1" t="s">
        <v>0</v>
      </c>
      <c r="B1" s="2" t="s">
        <v>1</v>
      </c>
      <c r="C1" s="2"/>
      <c r="D1" s="2"/>
      <c r="E1" s="3"/>
      <c r="F1" s="4" t="s">
        <v>2</v>
      </c>
      <c r="G1" s="5" t="s">
        <v>3</v>
      </c>
      <c r="H1" s="2"/>
      <c r="I1" s="2"/>
      <c r="J1" s="1"/>
      <c r="K1" s="74" t="s">
        <v>4</v>
      </c>
      <c r="L1" s="2"/>
      <c r="M1" s="2"/>
      <c r="N1" s="1"/>
      <c r="O1" s="74" t="s">
        <v>5</v>
      </c>
      <c r="P1" s="2"/>
      <c r="Q1" s="2"/>
      <c r="R1" s="1"/>
      <c r="S1" s="74" t="s">
        <v>6</v>
      </c>
      <c r="T1" s="2"/>
      <c r="U1" s="2"/>
      <c r="V1" s="2"/>
      <c r="W1" s="2"/>
      <c r="X1" s="5" t="s">
        <v>7</v>
      </c>
      <c r="Y1" s="2"/>
      <c r="Z1" s="2"/>
      <c r="AA1" s="2"/>
      <c r="AB1" s="1"/>
    </row>
    <row r="2" spans="1:28" x14ac:dyDescent="0.2">
      <c r="A2" s="33"/>
      <c r="B2" s="33"/>
      <c r="E2" s="6"/>
      <c r="F2" s="7"/>
      <c r="G2" s="8" t="s">
        <v>9</v>
      </c>
      <c r="H2" s="9" t="s">
        <v>10</v>
      </c>
      <c r="I2" s="9" t="s">
        <v>11</v>
      </c>
      <c r="J2" s="68" t="s">
        <v>12</v>
      </c>
      <c r="K2" s="9" t="s">
        <v>9</v>
      </c>
      <c r="L2" s="9" t="s">
        <v>10</v>
      </c>
      <c r="M2" s="9" t="s">
        <v>11</v>
      </c>
      <c r="N2" s="68" t="s">
        <v>12</v>
      </c>
      <c r="O2" s="9" t="s">
        <v>9</v>
      </c>
      <c r="P2" s="9" t="s">
        <v>10</v>
      </c>
      <c r="Q2" s="9" t="s">
        <v>11</v>
      </c>
      <c r="R2" s="68" t="s">
        <v>12</v>
      </c>
      <c r="S2" s="9" t="s">
        <v>9</v>
      </c>
      <c r="T2" s="9" t="s">
        <v>10</v>
      </c>
      <c r="U2" s="9" t="s">
        <v>11</v>
      </c>
      <c r="V2" s="9" t="s">
        <v>12</v>
      </c>
      <c r="W2" s="9" t="s">
        <v>13</v>
      </c>
      <c r="X2" s="8" t="s">
        <v>9</v>
      </c>
      <c r="Y2" s="9" t="s">
        <v>10</v>
      </c>
      <c r="Z2" s="9" t="s">
        <v>11</v>
      </c>
      <c r="AA2" s="9" t="s">
        <v>12</v>
      </c>
      <c r="AB2" s="68" t="s">
        <v>14</v>
      </c>
    </row>
    <row r="3" spans="1:28" x14ac:dyDescent="0.2">
      <c r="A3" s="33"/>
      <c r="B3" s="33"/>
      <c r="E3" s="11" t="s">
        <v>152</v>
      </c>
      <c r="F3" s="12"/>
      <c r="G3" s="6"/>
      <c r="H3" s="33"/>
      <c r="I3" s="33"/>
      <c r="J3" s="43"/>
      <c r="K3" s="15"/>
      <c r="L3" s="33"/>
      <c r="M3" s="33"/>
      <c r="N3" s="43"/>
      <c r="O3" s="15"/>
      <c r="P3" s="33"/>
      <c r="Q3" s="33"/>
      <c r="R3" s="43"/>
      <c r="S3" s="15"/>
      <c r="T3" s="33"/>
      <c r="U3" s="33"/>
      <c r="V3" s="33"/>
      <c r="W3" s="33"/>
      <c r="X3" s="6"/>
      <c r="Y3" s="33"/>
      <c r="Z3" s="33"/>
      <c r="AA3" s="33"/>
      <c r="AB3" s="43"/>
    </row>
    <row r="4" spans="1:28" x14ac:dyDescent="0.2">
      <c r="A4" s="33"/>
      <c r="B4" s="33"/>
      <c r="E4" s="11" t="s">
        <v>153</v>
      </c>
      <c r="F4" s="33"/>
      <c r="G4" s="6"/>
      <c r="H4" s="33"/>
      <c r="I4" s="33"/>
      <c r="J4" s="43"/>
      <c r="K4" s="15"/>
      <c r="L4" s="33"/>
      <c r="M4" s="33"/>
      <c r="N4" s="43"/>
      <c r="O4" s="15"/>
      <c r="P4" s="33"/>
      <c r="Q4" s="33"/>
      <c r="R4" s="43"/>
      <c r="S4" s="15"/>
      <c r="T4" s="33"/>
      <c r="U4" s="33"/>
      <c r="V4" s="33"/>
      <c r="W4" s="33"/>
      <c r="X4" s="6"/>
      <c r="Y4" s="33"/>
      <c r="Z4" s="33"/>
      <c r="AA4" s="33"/>
      <c r="AB4" s="43"/>
    </row>
    <row r="5" spans="1:28" x14ac:dyDescent="0.2">
      <c r="A5" s="33"/>
      <c r="B5" s="13">
        <v>41288</v>
      </c>
      <c r="C5" s="46">
        <v>2</v>
      </c>
      <c r="D5">
        <v>0.1</v>
      </c>
      <c r="E5" s="33" t="s">
        <v>159</v>
      </c>
      <c r="F5" s="33">
        <f>3*60+3</f>
        <v>183</v>
      </c>
      <c r="G5" s="86">
        <v>0</v>
      </c>
      <c r="H5" s="85">
        <v>0</v>
      </c>
      <c r="I5" s="85">
        <v>8</v>
      </c>
      <c r="J5" s="79">
        <v>0</v>
      </c>
      <c r="K5" s="82">
        <v>8</v>
      </c>
      <c r="L5" s="67">
        <v>0</v>
      </c>
      <c r="M5" s="67">
        <v>0</v>
      </c>
      <c r="N5" s="79">
        <v>0</v>
      </c>
      <c r="O5" s="82">
        <v>8</v>
      </c>
      <c r="P5" s="67">
        <v>0</v>
      </c>
      <c r="Q5" s="67">
        <v>0</v>
      </c>
      <c r="R5" s="79">
        <v>0</v>
      </c>
      <c r="S5" s="82">
        <v>6</v>
      </c>
      <c r="T5" s="67">
        <v>1</v>
      </c>
      <c r="U5" s="67">
        <v>1</v>
      </c>
      <c r="V5" s="67">
        <v>0</v>
      </c>
      <c r="W5" s="33">
        <f t="shared" ref="W5:W11" si="0">SUM(S5:V5)</f>
        <v>8</v>
      </c>
      <c r="X5" s="6">
        <v>0</v>
      </c>
      <c r="Y5" s="46">
        <v>3</v>
      </c>
      <c r="Z5" s="46">
        <v>5</v>
      </c>
      <c r="AA5" s="46">
        <v>0</v>
      </c>
      <c r="AB5" s="43">
        <f t="shared" ref="AB5:AB11" si="1">SUM(X5:AA5)</f>
        <v>8</v>
      </c>
    </row>
    <row r="6" spans="1:28" x14ac:dyDescent="0.2">
      <c r="A6" s="33"/>
      <c r="B6" s="13">
        <v>41288</v>
      </c>
      <c r="C6" s="46">
        <v>2</v>
      </c>
      <c r="D6" s="33">
        <v>0.1</v>
      </c>
      <c r="E6" s="33" t="s">
        <v>160</v>
      </c>
      <c r="F6" s="33">
        <f>60+40</f>
        <v>100</v>
      </c>
      <c r="G6" s="6">
        <v>0</v>
      </c>
      <c r="H6" s="33">
        <v>0</v>
      </c>
      <c r="I6" s="85">
        <v>10</v>
      </c>
      <c r="J6" s="79">
        <v>0</v>
      </c>
      <c r="K6" s="82">
        <v>4</v>
      </c>
      <c r="L6" s="67">
        <v>5</v>
      </c>
      <c r="M6" s="67">
        <v>1</v>
      </c>
      <c r="N6" s="79">
        <v>0</v>
      </c>
      <c r="O6" s="82">
        <v>3</v>
      </c>
      <c r="P6" s="67">
        <v>6</v>
      </c>
      <c r="Q6" s="67">
        <v>1</v>
      </c>
      <c r="R6" s="79">
        <v>0</v>
      </c>
      <c r="S6" s="15">
        <v>2</v>
      </c>
      <c r="T6" s="46">
        <v>4</v>
      </c>
      <c r="U6" s="46">
        <v>4</v>
      </c>
      <c r="V6" s="46">
        <v>0</v>
      </c>
      <c r="W6" s="33">
        <f t="shared" si="0"/>
        <v>10</v>
      </c>
      <c r="X6" s="6">
        <v>0</v>
      </c>
      <c r="Y6" s="46">
        <v>2</v>
      </c>
      <c r="Z6" s="46">
        <v>8</v>
      </c>
      <c r="AA6" s="46">
        <v>0</v>
      </c>
      <c r="AB6" s="43">
        <f t="shared" si="1"/>
        <v>10</v>
      </c>
    </row>
    <row r="7" spans="1:28" x14ac:dyDescent="0.2">
      <c r="A7" s="89" t="s">
        <v>262</v>
      </c>
      <c r="B7" s="13">
        <v>41288</v>
      </c>
      <c r="C7" s="46">
        <v>2</v>
      </c>
      <c r="D7" s="33">
        <v>0.1</v>
      </c>
      <c r="E7" s="33" t="s">
        <v>161</v>
      </c>
      <c r="F7" s="33">
        <f>2*60+45</f>
        <v>165</v>
      </c>
      <c r="G7" s="6">
        <v>0</v>
      </c>
      <c r="H7" s="33">
        <v>0</v>
      </c>
      <c r="I7" s="33">
        <v>10</v>
      </c>
      <c r="J7" s="79">
        <v>0</v>
      </c>
      <c r="K7" s="82" t="s">
        <v>247</v>
      </c>
      <c r="L7" s="67">
        <v>2</v>
      </c>
      <c r="M7" s="67" t="s">
        <v>247</v>
      </c>
      <c r="N7" s="79" t="s">
        <v>247</v>
      </c>
      <c r="O7" s="82">
        <v>4</v>
      </c>
      <c r="P7" s="67">
        <v>2</v>
      </c>
      <c r="Q7" s="67">
        <v>1</v>
      </c>
      <c r="R7" s="79">
        <v>2</v>
      </c>
      <c r="S7" s="15">
        <v>4</v>
      </c>
      <c r="T7" s="46">
        <v>2</v>
      </c>
      <c r="U7" s="46">
        <v>1</v>
      </c>
      <c r="V7" s="46">
        <v>2</v>
      </c>
      <c r="W7" s="33">
        <f t="shared" si="0"/>
        <v>9</v>
      </c>
      <c r="X7" s="6">
        <v>1</v>
      </c>
      <c r="Y7" s="46">
        <v>2</v>
      </c>
      <c r="Z7" s="46">
        <v>4</v>
      </c>
      <c r="AA7" s="67">
        <v>3</v>
      </c>
      <c r="AB7" s="83">
        <f t="shared" si="1"/>
        <v>10</v>
      </c>
    </row>
    <row r="8" spans="1:28" x14ac:dyDescent="0.2">
      <c r="A8" s="85" t="s">
        <v>263</v>
      </c>
      <c r="B8" s="84">
        <v>41298</v>
      </c>
      <c r="C8" s="46">
        <v>2</v>
      </c>
      <c r="D8" s="33">
        <v>0.1</v>
      </c>
      <c r="E8" s="33" t="s">
        <v>188</v>
      </c>
      <c r="F8" s="33">
        <f>60*2+15</f>
        <v>135</v>
      </c>
      <c r="G8" s="6" t="s">
        <v>247</v>
      </c>
      <c r="H8" s="46" t="s">
        <v>247</v>
      </c>
      <c r="I8" s="85" t="s">
        <v>247</v>
      </c>
      <c r="J8" s="83" t="s">
        <v>247</v>
      </c>
      <c r="K8" s="15">
        <v>7</v>
      </c>
      <c r="L8" s="46">
        <v>3</v>
      </c>
      <c r="M8" s="46">
        <v>0</v>
      </c>
      <c r="N8" s="56">
        <v>0</v>
      </c>
      <c r="O8" s="15">
        <v>7</v>
      </c>
      <c r="P8" s="46">
        <v>2</v>
      </c>
      <c r="Q8" s="46">
        <v>0</v>
      </c>
      <c r="R8" s="56">
        <v>0</v>
      </c>
      <c r="S8" s="15">
        <v>8</v>
      </c>
      <c r="T8" s="46">
        <v>2</v>
      </c>
      <c r="U8" s="46">
        <v>0</v>
      </c>
      <c r="V8" s="46">
        <v>0</v>
      </c>
      <c r="W8" s="33">
        <f t="shared" si="0"/>
        <v>10</v>
      </c>
      <c r="X8" s="6">
        <v>10</v>
      </c>
      <c r="Y8" s="46">
        <v>0</v>
      </c>
      <c r="Z8" s="46">
        <v>0</v>
      </c>
      <c r="AA8" s="46">
        <v>0</v>
      </c>
      <c r="AB8" s="43">
        <f t="shared" si="1"/>
        <v>10</v>
      </c>
    </row>
    <row r="9" spans="1:28" x14ac:dyDescent="0.2">
      <c r="A9" s="85"/>
      <c r="B9" s="84">
        <v>41298</v>
      </c>
      <c r="C9" s="46">
        <v>2</v>
      </c>
      <c r="D9" s="33">
        <v>0.1</v>
      </c>
      <c r="E9" s="33" t="s">
        <v>189</v>
      </c>
      <c r="F9" s="33">
        <f>60+45</f>
        <v>105</v>
      </c>
      <c r="G9" s="6">
        <v>0</v>
      </c>
      <c r="H9" s="33">
        <v>3</v>
      </c>
      <c r="I9" s="46">
        <v>7</v>
      </c>
      <c r="J9" s="79">
        <v>0</v>
      </c>
      <c r="K9" s="15">
        <v>2</v>
      </c>
      <c r="L9" s="46">
        <v>3</v>
      </c>
      <c r="M9" s="46">
        <v>5</v>
      </c>
      <c r="N9" s="56">
        <v>0</v>
      </c>
      <c r="O9" s="15">
        <v>5</v>
      </c>
      <c r="P9" s="46">
        <v>3</v>
      </c>
      <c r="Q9" s="46">
        <v>2</v>
      </c>
      <c r="R9" s="56">
        <v>0</v>
      </c>
      <c r="S9" s="15">
        <v>6</v>
      </c>
      <c r="T9" s="46">
        <v>3</v>
      </c>
      <c r="U9" s="46">
        <v>1</v>
      </c>
      <c r="V9" s="46">
        <v>0</v>
      </c>
      <c r="W9" s="33">
        <f t="shared" si="0"/>
        <v>10</v>
      </c>
      <c r="X9" s="6">
        <v>8</v>
      </c>
      <c r="Y9" s="46">
        <v>2</v>
      </c>
      <c r="Z9" s="46">
        <v>0</v>
      </c>
      <c r="AA9" s="46">
        <v>0</v>
      </c>
      <c r="AB9" s="43">
        <f t="shared" si="1"/>
        <v>10</v>
      </c>
    </row>
    <row r="10" spans="1:28" x14ac:dyDescent="0.2">
      <c r="A10" s="85"/>
      <c r="B10" s="84">
        <v>41298</v>
      </c>
      <c r="C10" s="46">
        <v>2</v>
      </c>
      <c r="D10" s="33">
        <v>0.1</v>
      </c>
      <c r="E10" s="33" t="s">
        <v>190</v>
      </c>
      <c r="F10" s="33">
        <f>2*60+30</f>
        <v>150</v>
      </c>
      <c r="G10" s="6">
        <v>0</v>
      </c>
      <c r="H10" s="33">
        <v>4</v>
      </c>
      <c r="I10" s="46">
        <v>6</v>
      </c>
      <c r="J10" s="79">
        <v>0</v>
      </c>
      <c r="K10" s="15">
        <v>10</v>
      </c>
      <c r="L10" s="46">
        <v>0</v>
      </c>
      <c r="M10" s="46">
        <v>0</v>
      </c>
      <c r="N10" s="56">
        <v>0</v>
      </c>
      <c r="O10" s="15">
        <v>10</v>
      </c>
      <c r="P10" s="46">
        <v>0</v>
      </c>
      <c r="Q10" s="46">
        <v>0</v>
      </c>
      <c r="R10" s="56">
        <v>0</v>
      </c>
      <c r="S10" s="15">
        <v>10</v>
      </c>
      <c r="T10" s="46">
        <v>0</v>
      </c>
      <c r="U10" s="46">
        <v>0</v>
      </c>
      <c r="V10" s="46">
        <v>0</v>
      </c>
      <c r="W10" s="33">
        <f t="shared" si="0"/>
        <v>10</v>
      </c>
      <c r="X10" s="6">
        <v>10</v>
      </c>
      <c r="Y10" s="46">
        <v>0</v>
      </c>
      <c r="Z10" s="46">
        <v>0</v>
      </c>
      <c r="AA10" s="46">
        <v>0</v>
      </c>
      <c r="AB10" s="43">
        <f t="shared" si="1"/>
        <v>10</v>
      </c>
    </row>
    <row r="11" spans="1:28" s="33" customFormat="1" x14ac:dyDescent="0.2">
      <c r="B11" s="13">
        <v>41317</v>
      </c>
      <c r="C11" s="46">
        <v>2</v>
      </c>
      <c r="D11" s="33">
        <v>0.1</v>
      </c>
      <c r="E11" s="33" t="s">
        <v>191</v>
      </c>
      <c r="F11" s="33">
        <f>60*2+30</f>
        <v>150</v>
      </c>
      <c r="G11" s="6">
        <v>0</v>
      </c>
      <c r="H11" s="33">
        <v>1</v>
      </c>
      <c r="I11" s="46">
        <v>10</v>
      </c>
      <c r="J11" s="79">
        <v>0</v>
      </c>
      <c r="K11" s="15">
        <v>1</v>
      </c>
      <c r="L11" s="46">
        <v>2</v>
      </c>
      <c r="M11" s="46">
        <v>8</v>
      </c>
      <c r="N11" s="56">
        <v>0</v>
      </c>
      <c r="O11" s="15">
        <v>1</v>
      </c>
      <c r="P11" s="46">
        <v>4</v>
      </c>
      <c r="Q11" s="46">
        <v>6</v>
      </c>
      <c r="R11" s="56">
        <v>0</v>
      </c>
      <c r="S11" s="15">
        <v>0</v>
      </c>
      <c r="T11" s="46">
        <v>2</v>
      </c>
      <c r="U11" s="46">
        <v>9</v>
      </c>
      <c r="V11" s="46">
        <v>0</v>
      </c>
      <c r="W11" s="33">
        <f t="shared" si="0"/>
        <v>11</v>
      </c>
      <c r="X11" s="6">
        <v>1</v>
      </c>
      <c r="Y11" s="46">
        <v>5</v>
      </c>
      <c r="Z11" s="46">
        <v>5</v>
      </c>
      <c r="AA11" s="46">
        <v>0</v>
      </c>
      <c r="AB11" s="43">
        <f t="shared" si="1"/>
        <v>11</v>
      </c>
    </row>
    <row r="12" spans="1:28" x14ac:dyDescent="0.2">
      <c r="A12" s="33"/>
      <c r="B12" s="33"/>
      <c r="E12" s="16" t="s">
        <v>23</v>
      </c>
      <c r="F12" s="17">
        <f>AVERAGE(F5:F10)</f>
        <v>139.66666666666666</v>
      </c>
      <c r="G12" s="16"/>
      <c r="H12" s="18"/>
      <c r="I12" s="18"/>
      <c r="J12" s="36"/>
      <c r="K12" s="57"/>
      <c r="L12" s="18"/>
      <c r="M12" s="18"/>
      <c r="N12" s="36"/>
      <c r="O12" s="57"/>
      <c r="P12" s="18"/>
      <c r="Q12" s="18"/>
      <c r="R12" s="36"/>
      <c r="S12" s="57"/>
      <c r="T12" s="18"/>
      <c r="U12" s="18"/>
      <c r="V12" s="18"/>
      <c r="W12" s="18">
        <f>AVERAGE(W5:W11)</f>
        <v>9.7142857142857135</v>
      </c>
      <c r="X12" s="16"/>
      <c r="Y12" s="18"/>
      <c r="Z12" s="18"/>
      <c r="AA12" s="18"/>
      <c r="AB12" s="36">
        <f>AVERAGE(AB5:AB11)</f>
        <v>9.8571428571428577</v>
      </c>
    </row>
    <row r="13" spans="1:28" x14ac:dyDescent="0.2">
      <c r="A13" s="33"/>
      <c r="B13" s="33"/>
      <c r="E13" s="64" t="s">
        <v>14</v>
      </c>
      <c r="F13" s="20"/>
      <c r="G13" s="19"/>
      <c r="H13" s="20"/>
      <c r="I13" s="20"/>
      <c r="J13" s="21"/>
      <c r="K13" s="75"/>
      <c r="L13" s="20"/>
      <c r="M13" s="20"/>
      <c r="N13" s="21"/>
      <c r="O13" s="75"/>
      <c r="P13" s="20"/>
      <c r="Q13" s="20"/>
      <c r="R13" s="21"/>
      <c r="S13" s="75"/>
      <c r="T13" s="20"/>
      <c r="U13" s="20"/>
      <c r="V13" s="20"/>
      <c r="W13" s="21">
        <f>SUM(W5:W11)</f>
        <v>68</v>
      </c>
      <c r="X13" s="22"/>
      <c r="Y13" s="20"/>
      <c r="Z13" s="20"/>
      <c r="AA13" s="20"/>
      <c r="AB13" s="21">
        <f>SUM(AB5:AB11)</f>
        <v>69</v>
      </c>
    </row>
    <row r="14" spans="1:28" x14ac:dyDescent="0.2">
      <c r="A14" s="23"/>
      <c r="B14" s="23"/>
      <c r="C14" s="15"/>
      <c r="D14" s="15"/>
      <c r="E14" s="11" t="s">
        <v>154</v>
      </c>
      <c r="F14" s="23"/>
      <c r="G14" s="25"/>
      <c r="H14" s="23"/>
      <c r="I14" s="23"/>
      <c r="J14" s="26"/>
      <c r="K14" s="23"/>
      <c r="L14" s="23"/>
      <c r="M14" s="23"/>
      <c r="N14" s="26"/>
      <c r="O14" s="23"/>
      <c r="P14" s="23"/>
      <c r="Q14" s="23"/>
      <c r="R14" s="26"/>
      <c r="S14" s="23"/>
      <c r="T14" s="23"/>
      <c r="U14" s="23"/>
      <c r="V14" s="23"/>
      <c r="W14" s="26"/>
      <c r="X14" s="25"/>
      <c r="Y14" s="23"/>
      <c r="Z14" s="23"/>
      <c r="AA14" s="23"/>
      <c r="AB14" s="26"/>
    </row>
    <row r="15" spans="1:28" x14ac:dyDescent="0.2">
      <c r="A15" s="33" t="s">
        <v>165</v>
      </c>
      <c r="B15" s="84">
        <v>41289</v>
      </c>
      <c r="C15" s="46">
        <v>24</v>
      </c>
      <c r="D15" s="33">
        <v>0.1</v>
      </c>
      <c r="E15" s="33" t="s">
        <v>162</v>
      </c>
      <c r="F15" s="33">
        <f>2*60+35</f>
        <v>155</v>
      </c>
      <c r="G15" s="6">
        <v>0</v>
      </c>
      <c r="H15" s="33">
        <v>0</v>
      </c>
      <c r="I15" s="33">
        <v>10</v>
      </c>
      <c r="J15" s="56">
        <v>0</v>
      </c>
      <c r="K15" s="15">
        <v>0</v>
      </c>
      <c r="L15" s="46">
        <v>0</v>
      </c>
      <c r="M15" s="46">
        <v>10</v>
      </c>
      <c r="N15" s="56">
        <v>0</v>
      </c>
      <c r="O15" s="15">
        <v>0</v>
      </c>
      <c r="P15" s="46">
        <v>1</v>
      </c>
      <c r="Q15" s="46">
        <v>9</v>
      </c>
      <c r="R15" s="56">
        <v>0</v>
      </c>
      <c r="S15" s="15">
        <v>0</v>
      </c>
      <c r="T15" s="46">
        <v>5</v>
      </c>
      <c r="U15" s="46">
        <v>4</v>
      </c>
      <c r="V15" s="46">
        <v>0</v>
      </c>
      <c r="W15" s="33">
        <f t="shared" ref="W15:W20" si="2">SUM(S15:V15)</f>
        <v>9</v>
      </c>
      <c r="X15" s="6">
        <v>2</v>
      </c>
      <c r="Y15" s="46">
        <v>2</v>
      </c>
      <c r="Z15" s="46">
        <v>4</v>
      </c>
      <c r="AA15" s="46">
        <v>1</v>
      </c>
      <c r="AB15" s="43">
        <f t="shared" ref="AB15:AB20" si="3">SUM(X15:AA15)</f>
        <v>9</v>
      </c>
    </row>
    <row r="16" spans="1:28" x14ac:dyDescent="0.2">
      <c r="A16" s="33"/>
      <c r="B16" s="84">
        <v>41289</v>
      </c>
      <c r="C16" s="46">
        <v>24</v>
      </c>
      <c r="D16" s="33">
        <v>0.1</v>
      </c>
      <c r="E16" s="33" t="s">
        <v>163</v>
      </c>
      <c r="F16" s="33">
        <f>3*60+12</f>
        <v>192</v>
      </c>
      <c r="G16" s="6">
        <v>0</v>
      </c>
      <c r="H16" s="33">
        <v>0</v>
      </c>
      <c r="I16" s="33">
        <v>10</v>
      </c>
      <c r="J16" s="56">
        <v>0</v>
      </c>
      <c r="K16" s="15">
        <v>0</v>
      </c>
      <c r="L16" s="46">
        <v>0</v>
      </c>
      <c r="M16" s="46">
        <v>10</v>
      </c>
      <c r="N16" s="56">
        <v>0</v>
      </c>
      <c r="O16" s="15">
        <v>0</v>
      </c>
      <c r="P16" s="46">
        <v>1</v>
      </c>
      <c r="Q16" s="67">
        <v>9</v>
      </c>
      <c r="R16" s="56">
        <v>1</v>
      </c>
      <c r="S16" s="15">
        <v>0</v>
      </c>
      <c r="T16" s="46">
        <v>3</v>
      </c>
      <c r="U16" s="46">
        <v>6</v>
      </c>
      <c r="V16" s="46">
        <v>1</v>
      </c>
      <c r="W16" s="33">
        <f t="shared" si="2"/>
        <v>10</v>
      </c>
      <c r="X16" s="6">
        <v>1</v>
      </c>
      <c r="Y16" s="46">
        <v>4</v>
      </c>
      <c r="Z16" s="46">
        <v>4</v>
      </c>
      <c r="AA16" s="46">
        <v>2</v>
      </c>
      <c r="AB16" s="43">
        <f t="shared" si="3"/>
        <v>11</v>
      </c>
    </row>
    <row r="17" spans="1:40" x14ac:dyDescent="0.2">
      <c r="A17" s="33"/>
      <c r="B17" s="84">
        <v>41289</v>
      </c>
      <c r="C17" s="46">
        <v>24</v>
      </c>
      <c r="D17" s="33">
        <v>0.1</v>
      </c>
      <c r="E17" s="33" t="s">
        <v>164</v>
      </c>
      <c r="F17" s="33">
        <f>1*60+57</f>
        <v>117</v>
      </c>
      <c r="G17" s="6">
        <v>0</v>
      </c>
      <c r="H17" s="33">
        <v>0</v>
      </c>
      <c r="I17" s="33">
        <v>10</v>
      </c>
      <c r="J17" s="56">
        <v>0</v>
      </c>
      <c r="K17" s="15">
        <v>0</v>
      </c>
      <c r="L17" s="67">
        <v>2</v>
      </c>
      <c r="M17" s="46">
        <v>10</v>
      </c>
      <c r="N17" s="56">
        <v>0</v>
      </c>
      <c r="O17" s="15">
        <v>0</v>
      </c>
      <c r="P17" s="67">
        <v>3</v>
      </c>
      <c r="Q17" s="46">
        <v>9</v>
      </c>
      <c r="R17" s="79">
        <v>0</v>
      </c>
      <c r="S17" s="15">
        <v>0</v>
      </c>
      <c r="T17" s="46">
        <v>6</v>
      </c>
      <c r="U17" s="46">
        <v>6</v>
      </c>
      <c r="V17" s="46">
        <v>0</v>
      </c>
      <c r="W17" s="33">
        <f t="shared" si="2"/>
        <v>12</v>
      </c>
      <c r="X17" s="86">
        <v>6</v>
      </c>
      <c r="Y17" s="46">
        <v>3</v>
      </c>
      <c r="Z17" s="46">
        <v>3</v>
      </c>
      <c r="AA17" s="46">
        <v>0</v>
      </c>
      <c r="AB17" s="43">
        <f t="shared" si="3"/>
        <v>12</v>
      </c>
      <c r="AJ17" s="33"/>
      <c r="AL17" s="33"/>
      <c r="AM17" s="33"/>
      <c r="AN17" s="33"/>
    </row>
    <row r="18" spans="1:40" x14ac:dyDescent="0.2">
      <c r="A18" s="33"/>
      <c r="B18" s="84">
        <v>41296</v>
      </c>
      <c r="C18" s="46">
        <v>24</v>
      </c>
      <c r="D18" s="33">
        <v>0.1</v>
      </c>
      <c r="E18" s="85" t="s">
        <v>249</v>
      </c>
      <c r="F18" s="33">
        <f>2*60+30</f>
        <v>150</v>
      </c>
      <c r="G18" s="86" t="s">
        <v>247</v>
      </c>
      <c r="H18" s="85" t="s">
        <v>247</v>
      </c>
      <c r="I18" s="85" t="s">
        <v>247</v>
      </c>
      <c r="J18" s="83" t="s">
        <v>247</v>
      </c>
      <c r="K18" s="67" t="s">
        <v>247</v>
      </c>
      <c r="L18" s="67" t="s">
        <v>247</v>
      </c>
      <c r="M18" s="85" t="s">
        <v>247</v>
      </c>
      <c r="N18" s="83" t="s">
        <v>247</v>
      </c>
      <c r="O18" s="82">
        <v>0</v>
      </c>
      <c r="P18" s="67">
        <v>1</v>
      </c>
      <c r="Q18" s="67">
        <v>9</v>
      </c>
      <c r="R18" s="79">
        <v>0</v>
      </c>
      <c r="S18" s="82">
        <v>0</v>
      </c>
      <c r="T18" s="67">
        <v>0</v>
      </c>
      <c r="U18" s="67">
        <v>10</v>
      </c>
      <c r="V18" s="67">
        <v>0</v>
      </c>
      <c r="W18" s="85">
        <f t="shared" si="2"/>
        <v>10</v>
      </c>
      <c r="X18" s="86">
        <v>0</v>
      </c>
      <c r="Y18" s="67">
        <v>0</v>
      </c>
      <c r="Z18" s="67">
        <v>10</v>
      </c>
      <c r="AA18" s="67">
        <v>0</v>
      </c>
      <c r="AB18" s="83">
        <f t="shared" si="3"/>
        <v>10</v>
      </c>
      <c r="AJ18" s="33"/>
      <c r="AL18" s="33"/>
      <c r="AM18" s="33"/>
    </row>
    <row r="19" spans="1:40" x14ac:dyDescent="0.2">
      <c r="A19" s="89" t="s">
        <v>175</v>
      </c>
      <c r="B19" s="84">
        <v>41296</v>
      </c>
      <c r="C19" s="46">
        <v>24</v>
      </c>
      <c r="D19" s="33">
        <v>0.1</v>
      </c>
      <c r="E19" s="85" t="s">
        <v>250</v>
      </c>
      <c r="F19" s="33">
        <f>2*60+1</f>
        <v>121</v>
      </c>
      <c r="G19" s="91" t="s">
        <v>247</v>
      </c>
      <c r="H19" s="92" t="s">
        <v>247</v>
      </c>
      <c r="I19" s="92" t="s">
        <v>247</v>
      </c>
      <c r="J19" s="93" t="s">
        <v>247</v>
      </c>
      <c r="K19" s="90" t="s">
        <v>247</v>
      </c>
      <c r="L19" s="92" t="s">
        <v>247</v>
      </c>
      <c r="M19" s="92" t="s">
        <v>247</v>
      </c>
      <c r="N19" s="93" t="s">
        <v>247</v>
      </c>
      <c r="O19" s="90" t="s">
        <v>247</v>
      </c>
      <c r="P19" s="92" t="s">
        <v>247</v>
      </c>
      <c r="Q19" s="92" t="s">
        <v>247</v>
      </c>
      <c r="R19" s="93" t="s">
        <v>247</v>
      </c>
      <c r="S19" s="90" t="s">
        <v>247</v>
      </c>
      <c r="T19" s="92" t="s">
        <v>247</v>
      </c>
      <c r="U19" s="92" t="s">
        <v>247</v>
      </c>
      <c r="V19" s="92" t="s">
        <v>247</v>
      </c>
      <c r="W19" s="92" t="s">
        <v>247</v>
      </c>
      <c r="X19" s="91" t="s">
        <v>247</v>
      </c>
      <c r="Y19" s="92" t="s">
        <v>247</v>
      </c>
      <c r="Z19" s="92" t="s">
        <v>247</v>
      </c>
      <c r="AA19" s="92" t="s">
        <v>247</v>
      </c>
      <c r="AB19" s="93" t="s">
        <v>247</v>
      </c>
      <c r="AE19" s="67"/>
    </row>
    <row r="20" spans="1:40" x14ac:dyDescent="0.2">
      <c r="A20" s="33"/>
      <c r="B20" s="84">
        <v>41296</v>
      </c>
      <c r="C20" s="46">
        <v>24</v>
      </c>
      <c r="D20" s="33">
        <v>0.1</v>
      </c>
      <c r="E20" s="85" t="s">
        <v>251</v>
      </c>
      <c r="F20" s="85">
        <f>2*60+30</f>
        <v>150</v>
      </c>
      <c r="G20" s="86" t="s">
        <v>247</v>
      </c>
      <c r="H20" s="85" t="s">
        <v>247</v>
      </c>
      <c r="I20" s="85" t="s">
        <v>247</v>
      </c>
      <c r="J20" s="83" t="s">
        <v>247</v>
      </c>
      <c r="K20" s="82">
        <v>1</v>
      </c>
      <c r="L20" s="82">
        <v>0</v>
      </c>
      <c r="M20" s="82">
        <v>6</v>
      </c>
      <c r="N20" s="79">
        <v>0</v>
      </c>
      <c r="O20" s="82">
        <v>6</v>
      </c>
      <c r="P20" s="67">
        <v>0</v>
      </c>
      <c r="Q20" s="67">
        <v>4</v>
      </c>
      <c r="R20" s="79">
        <v>0</v>
      </c>
      <c r="S20" s="82">
        <v>5</v>
      </c>
      <c r="T20" s="67">
        <v>1</v>
      </c>
      <c r="U20" s="67">
        <v>4</v>
      </c>
      <c r="V20" s="67">
        <v>0</v>
      </c>
      <c r="W20" s="85">
        <f t="shared" si="2"/>
        <v>10</v>
      </c>
      <c r="X20" s="86">
        <v>4</v>
      </c>
      <c r="Y20" s="67">
        <v>2</v>
      </c>
      <c r="Z20" s="67">
        <v>4</v>
      </c>
      <c r="AA20" s="67">
        <v>0</v>
      </c>
      <c r="AB20" s="83">
        <f t="shared" si="3"/>
        <v>10</v>
      </c>
    </row>
    <row r="21" spans="1:40" x14ac:dyDescent="0.2">
      <c r="A21" s="33"/>
      <c r="B21" s="33"/>
      <c r="E21" s="16" t="s">
        <v>23</v>
      </c>
      <c r="F21" s="17">
        <f>AVERAGE(F15:F20)</f>
        <v>147.5</v>
      </c>
      <c r="G21" s="16"/>
      <c r="H21" s="18"/>
      <c r="I21" s="18"/>
      <c r="J21" s="36"/>
      <c r="K21" s="57"/>
      <c r="L21" s="18"/>
      <c r="M21" s="18"/>
      <c r="N21" s="36"/>
      <c r="O21" s="57"/>
      <c r="P21" s="18"/>
      <c r="Q21" s="18"/>
      <c r="R21" s="36"/>
      <c r="S21" s="57"/>
      <c r="T21" s="18"/>
      <c r="U21" s="18"/>
      <c r="V21" s="18"/>
      <c r="W21" s="18">
        <f>AVERAGE(W15:W20)</f>
        <v>10.199999999999999</v>
      </c>
      <c r="X21" s="16"/>
      <c r="Y21" s="18"/>
      <c r="Z21" s="18"/>
      <c r="AA21" s="18"/>
      <c r="AB21" s="36">
        <f>AVERAGE(AB15:AB20)</f>
        <v>10.4</v>
      </c>
    </row>
    <row r="22" spans="1:40" x14ac:dyDescent="0.2">
      <c r="A22" s="33"/>
      <c r="B22" s="33"/>
      <c r="E22" s="64" t="s">
        <v>14</v>
      </c>
      <c r="F22" s="20"/>
      <c r="G22" s="19"/>
      <c r="H22" s="20"/>
      <c r="I22" s="20"/>
      <c r="J22" s="21"/>
      <c r="K22" s="75"/>
      <c r="L22" s="20"/>
      <c r="M22" s="20"/>
      <c r="N22" s="21"/>
      <c r="O22" s="75"/>
      <c r="P22" s="20"/>
      <c r="Q22" s="20"/>
      <c r="R22" s="21"/>
      <c r="S22" s="75"/>
      <c r="T22" s="20"/>
      <c r="U22" s="20"/>
      <c r="V22" s="20"/>
      <c r="W22" s="21">
        <f>SUM(W15:W20)</f>
        <v>51</v>
      </c>
      <c r="X22" s="22"/>
      <c r="Y22" s="20"/>
      <c r="Z22" s="20"/>
      <c r="AA22" s="20"/>
      <c r="AB22" s="21">
        <f>SUM(AB15:AB20)</f>
        <v>52</v>
      </c>
    </row>
    <row r="23" spans="1:40" x14ac:dyDescent="0.2">
      <c r="A23" s="23"/>
      <c r="B23" s="23"/>
      <c r="C23" s="15"/>
      <c r="D23" s="15"/>
      <c r="E23" s="11" t="s">
        <v>167</v>
      </c>
      <c r="F23" s="23"/>
      <c r="G23" s="25"/>
      <c r="H23" s="23"/>
      <c r="I23" s="23"/>
      <c r="J23" s="26"/>
      <c r="K23" s="23"/>
      <c r="L23" s="23"/>
      <c r="M23" s="23"/>
      <c r="N23" s="26"/>
      <c r="O23" s="23"/>
      <c r="P23" s="23"/>
      <c r="Q23" s="23"/>
      <c r="R23" s="26"/>
      <c r="S23" s="23"/>
      <c r="T23" s="23"/>
      <c r="U23" s="23"/>
      <c r="V23" s="23"/>
      <c r="W23" s="26"/>
      <c r="X23" s="25"/>
      <c r="Y23" s="23"/>
      <c r="Z23" s="23"/>
      <c r="AA23" s="23"/>
      <c r="AB23" s="26"/>
    </row>
    <row r="24" spans="1:40" x14ac:dyDescent="0.2">
      <c r="A24" s="33"/>
      <c r="B24" s="84">
        <v>41296</v>
      </c>
      <c r="C24" s="46">
        <v>48</v>
      </c>
      <c r="D24" s="33">
        <v>0.1</v>
      </c>
      <c r="E24" s="33" t="s">
        <v>170</v>
      </c>
      <c r="F24" s="85">
        <f>60+35</f>
        <v>95</v>
      </c>
      <c r="G24" s="86">
        <v>0</v>
      </c>
      <c r="H24" s="85">
        <v>0</v>
      </c>
      <c r="I24" s="85" t="s">
        <v>247</v>
      </c>
      <c r="J24" s="83">
        <v>0</v>
      </c>
      <c r="K24" s="67">
        <v>0</v>
      </c>
      <c r="L24" s="67">
        <v>0</v>
      </c>
      <c r="M24" s="85" t="s">
        <v>247</v>
      </c>
      <c r="N24" s="83">
        <v>0</v>
      </c>
      <c r="O24" s="15">
        <v>0</v>
      </c>
      <c r="P24" s="15">
        <v>1</v>
      </c>
      <c r="Q24" s="15">
        <v>9</v>
      </c>
      <c r="R24" s="56">
        <v>0</v>
      </c>
      <c r="S24" s="15">
        <v>0</v>
      </c>
      <c r="T24" s="46">
        <v>3</v>
      </c>
      <c r="U24" s="46">
        <v>7</v>
      </c>
      <c r="V24" s="46">
        <v>0</v>
      </c>
      <c r="W24" s="33">
        <f t="shared" ref="W24:W30" si="4">SUM(S24:V24)</f>
        <v>10</v>
      </c>
      <c r="X24" s="6">
        <v>2</v>
      </c>
      <c r="Y24" s="46">
        <v>2</v>
      </c>
      <c r="Z24" s="46">
        <v>7</v>
      </c>
      <c r="AA24" s="46">
        <v>0</v>
      </c>
      <c r="AB24" s="43">
        <f t="shared" ref="AB24:AB30" si="5">SUM(X24:AA24)</f>
        <v>11</v>
      </c>
    </row>
    <row r="25" spans="1:40" x14ac:dyDescent="0.2">
      <c r="A25" s="33"/>
      <c r="B25" s="84">
        <v>41296</v>
      </c>
      <c r="C25" s="46">
        <v>48</v>
      </c>
      <c r="D25" s="33">
        <v>0.1</v>
      </c>
      <c r="E25" s="33" t="s">
        <v>171</v>
      </c>
      <c r="F25" s="85">
        <f>60+10</f>
        <v>70</v>
      </c>
      <c r="G25" s="86">
        <v>0</v>
      </c>
      <c r="H25" s="85">
        <v>0</v>
      </c>
      <c r="I25" s="85" t="s">
        <v>247</v>
      </c>
      <c r="J25" s="83">
        <v>0</v>
      </c>
      <c r="K25" s="67">
        <v>0</v>
      </c>
      <c r="L25" s="67">
        <v>0</v>
      </c>
      <c r="M25" s="85" t="s">
        <v>247</v>
      </c>
      <c r="N25" s="83">
        <v>0</v>
      </c>
      <c r="O25" s="15">
        <v>0</v>
      </c>
      <c r="P25" s="15">
        <v>1</v>
      </c>
      <c r="Q25" s="15">
        <v>9</v>
      </c>
      <c r="R25" s="56">
        <v>0</v>
      </c>
      <c r="S25" s="15">
        <v>4</v>
      </c>
      <c r="T25" s="46">
        <v>1</v>
      </c>
      <c r="U25" s="46">
        <v>5</v>
      </c>
      <c r="V25" s="46">
        <v>0</v>
      </c>
      <c r="W25" s="33">
        <f t="shared" si="4"/>
        <v>10</v>
      </c>
      <c r="X25" s="6">
        <v>3</v>
      </c>
      <c r="Y25" s="46">
        <v>0</v>
      </c>
      <c r="Z25" s="46">
        <v>7</v>
      </c>
      <c r="AA25" s="46">
        <v>0</v>
      </c>
      <c r="AB25" s="43">
        <f t="shared" si="5"/>
        <v>10</v>
      </c>
    </row>
    <row r="26" spans="1:40" x14ac:dyDescent="0.2">
      <c r="A26" s="33"/>
      <c r="B26" s="84">
        <v>41354</v>
      </c>
      <c r="C26" s="46">
        <v>48</v>
      </c>
      <c r="D26" s="33">
        <v>0.1</v>
      </c>
      <c r="E26" s="33" t="s">
        <v>213</v>
      </c>
      <c r="F26" s="33">
        <f>60+25</f>
        <v>85</v>
      </c>
      <c r="G26" s="86">
        <v>0</v>
      </c>
      <c r="H26" s="85">
        <v>0</v>
      </c>
      <c r="I26" s="85" t="s">
        <v>247</v>
      </c>
      <c r="J26" s="83">
        <v>0</v>
      </c>
      <c r="K26" s="67">
        <v>0</v>
      </c>
      <c r="L26" s="82">
        <v>2</v>
      </c>
      <c r="M26" s="85" t="s">
        <v>247</v>
      </c>
      <c r="N26" s="83">
        <v>0</v>
      </c>
      <c r="O26" s="67">
        <v>0</v>
      </c>
      <c r="P26" s="82">
        <v>3</v>
      </c>
      <c r="Q26" s="85" t="s">
        <v>247</v>
      </c>
      <c r="R26" s="83">
        <v>0</v>
      </c>
      <c r="S26" s="82">
        <v>0</v>
      </c>
      <c r="T26" s="85">
        <v>0</v>
      </c>
      <c r="U26" s="85">
        <v>10</v>
      </c>
      <c r="V26" s="67">
        <v>0</v>
      </c>
      <c r="W26" s="33">
        <f t="shared" si="4"/>
        <v>10</v>
      </c>
      <c r="X26" s="6">
        <v>0</v>
      </c>
      <c r="Y26" s="46">
        <v>0</v>
      </c>
      <c r="Z26" s="46">
        <v>10</v>
      </c>
      <c r="AA26" s="46">
        <v>0</v>
      </c>
      <c r="AB26" s="43">
        <f t="shared" si="5"/>
        <v>10</v>
      </c>
    </row>
    <row r="27" spans="1:40" x14ac:dyDescent="0.2">
      <c r="A27" s="33"/>
      <c r="B27" s="84">
        <v>41354</v>
      </c>
      <c r="C27" s="46">
        <v>48</v>
      </c>
      <c r="D27" s="33">
        <v>0.1</v>
      </c>
      <c r="E27" s="33" t="s">
        <v>214</v>
      </c>
      <c r="F27" s="33">
        <f>60+15</f>
        <v>75</v>
      </c>
      <c r="G27" s="86">
        <v>0</v>
      </c>
      <c r="H27" s="85">
        <v>0</v>
      </c>
      <c r="I27" s="85" t="s">
        <v>247</v>
      </c>
      <c r="J27" s="83">
        <v>0</v>
      </c>
      <c r="K27" s="67">
        <v>0</v>
      </c>
      <c r="L27" s="67">
        <v>0</v>
      </c>
      <c r="M27" s="85" t="s">
        <v>247</v>
      </c>
      <c r="N27" s="83">
        <v>0</v>
      </c>
      <c r="O27" s="67">
        <v>0</v>
      </c>
      <c r="P27" s="85">
        <v>0</v>
      </c>
      <c r="Q27" s="67" t="s">
        <v>247</v>
      </c>
      <c r="R27" s="83">
        <v>0</v>
      </c>
      <c r="S27" s="82">
        <v>0</v>
      </c>
      <c r="T27" s="85">
        <v>0</v>
      </c>
      <c r="U27" s="85">
        <v>8</v>
      </c>
      <c r="V27" s="67">
        <v>0</v>
      </c>
      <c r="W27" s="33">
        <f t="shared" si="4"/>
        <v>8</v>
      </c>
      <c r="X27" s="6">
        <v>0</v>
      </c>
      <c r="Y27" s="46">
        <v>0</v>
      </c>
      <c r="Z27" s="46">
        <v>8</v>
      </c>
      <c r="AA27" s="46">
        <v>0</v>
      </c>
      <c r="AB27" s="43">
        <f t="shared" si="5"/>
        <v>8</v>
      </c>
    </row>
    <row r="28" spans="1:40" x14ac:dyDescent="0.2">
      <c r="A28" s="33"/>
      <c r="B28" s="84">
        <v>41354</v>
      </c>
      <c r="C28" s="46">
        <v>48</v>
      </c>
      <c r="D28" s="33">
        <v>0.1</v>
      </c>
      <c r="E28" s="33" t="s">
        <v>215</v>
      </c>
      <c r="F28" s="33">
        <f>60+50</f>
        <v>110</v>
      </c>
      <c r="G28" s="86">
        <v>0</v>
      </c>
      <c r="H28" s="85">
        <v>0</v>
      </c>
      <c r="I28" s="85" t="s">
        <v>247</v>
      </c>
      <c r="J28" s="83">
        <v>0</v>
      </c>
      <c r="K28" s="82">
        <v>0</v>
      </c>
      <c r="L28" s="82">
        <v>1</v>
      </c>
      <c r="M28" s="82">
        <v>7</v>
      </c>
      <c r="N28" s="79">
        <v>0</v>
      </c>
      <c r="O28" s="82">
        <v>0</v>
      </c>
      <c r="P28" s="85">
        <v>0</v>
      </c>
      <c r="Q28" s="82" t="s">
        <v>247</v>
      </c>
      <c r="R28" s="83">
        <v>0</v>
      </c>
      <c r="S28" s="82">
        <v>0</v>
      </c>
      <c r="T28" s="85">
        <v>0</v>
      </c>
      <c r="U28" s="85">
        <v>8</v>
      </c>
      <c r="V28" s="67">
        <v>0</v>
      </c>
      <c r="W28" s="33">
        <f t="shared" si="4"/>
        <v>8</v>
      </c>
      <c r="X28" s="6">
        <v>0</v>
      </c>
      <c r="Y28" s="46">
        <v>0</v>
      </c>
      <c r="Z28" s="46">
        <v>8</v>
      </c>
      <c r="AA28" s="46">
        <v>0</v>
      </c>
      <c r="AB28" s="43">
        <f t="shared" si="5"/>
        <v>8</v>
      </c>
    </row>
    <row r="29" spans="1:40" x14ac:dyDescent="0.2">
      <c r="A29" s="27"/>
      <c r="B29" s="84">
        <v>41354</v>
      </c>
      <c r="C29" s="46">
        <v>48</v>
      </c>
      <c r="D29" s="33">
        <v>0.1</v>
      </c>
      <c r="E29" s="33" t="s">
        <v>216</v>
      </c>
      <c r="F29" s="66">
        <f>2*60</f>
        <v>120</v>
      </c>
      <c r="G29" s="65">
        <v>0</v>
      </c>
      <c r="H29" s="66">
        <v>2</v>
      </c>
      <c r="I29" s="66">
        <v>9</v>
      </c>
      <c r="J29" s="79">
        <v>0</v>
      </c>
      <c r="K29" s="67">
        <v>0</v>
      </c>
      <c r="L29" s="67">
        <v>1</v>
      </c>
      <c r="M29" s="67">
        <v>10</v>
      </c>
      <c r="N29" s="79">
        <v>0</v>
      </c>
      <c r="O29" s="67">
        <v>0</v>
      </c>
      <c r="P29" s="85">
        <v>0</v>
      </c>
      <c r="Q29" s="67" t="s">
        <v>247</v>
      </c>
      <c r="R29" s="79">
        <v>0</v>
      </c>
      <c r="S29" s="67">
        <v>0</v>
      </c>
      <c r="T29" s="66">
        <v>0</v>
      </c>
      <c r="U29" s="66">
        <v>11</v>
      </c>
      <c r="V29" s="66">
        <v>0</v>
      </c>
      <c r="W29" s="66">
        <f t="shared" si="4"/>
        <v>11</v>
      </c>
      <c r="X29" s="65">
        <v>0</v>
      </c>
      <c r="Y29" s="67">
        <v>0</v>
      </c>
      <c r="Z29" s="67">
        <v>11</v>
      </c>
      <c r="AA29" s="67">
        <v>0</v>
      </c>
      <c r="AB29" s="79">
        <f t="shared" si="5"/>
        <v>11</v>
      </c>
    </row>
    <row r="30" spans="1:40" s="33" customFormat="1" x14ac:dyDescent="0.2">
      <c r="A30" s="27" t="s">
        <v>252</v>
      </c>
      <c r="B30" s="95">
        <v>41402</v>
      </c>
      <c r="C30" s="46">
        <v>48</v>
      </c>
      <c r="D30" s="33">
        <v>0.1</v>
      </c>
      <c r="E30" s="33" t="s">
        <v>230</v>
      </c>
      <c r="F30" s="66">
        <f>2*60+5</f>
        <v>125</v>
      </c>
      <c r="G30" s="65">
        <v>0</v>
      </c>
      <c r="H30" s="66">
        <v>0</v>
      </c>
      <c r="I30" s="85" t="s">
        <v>247</v>
      </c>
      <c r="J30" s="79">
        <v>0</v>
      </c>
      <c r="K30" s="67">
        <v>0</v>
      </c>
      <c r="L30" s="67">
        <v>1</v>
      </c>
      <c r="M30" s="67">
        <v>9</v>
      </c>
      <c r="N30" s="79">
        <v>0</v>
      </c>
      <c r="O30" s="67">
        <v>0</v>
      </c>
      <c r="P30" s="67">
        <v>2</v>
      </c>
      <c r="Q30" s="67">
        <v>8</v>
      </c>
      <c r="R30" s="79">
        <v>0</v>
      </c>
      <c r="S30" s="67">
        <v>0</v>
      </c>
      <c r="T30" s="66">
        <v>1</v>
      </c>
      <c r="U30" s="66">
        <v>8</v>
      </c>
      <c r="V30" s="66">
        <v>0</v>
      </c>
      <c r="W30" s="66">
        <f t="shared" si="4"/>
        <v>9</v>
      </c>
      <c r="X30" s="65">
        <v>0</v>
      </c>
      <c r="Y30" s="67">
        <v>1</v>
      </c>
      <c r="Z30" s="67">
        <v>9</v>
      </c>
      <c r="AA30" s="67">
        <v>0</v>
      </c>
      <c r="AB30" s="79">
        <f t="shared" si="5"/>
        <v>10</v>
      </c>
    </row>
    <row r="31" spans="1:40" x14ac:dyDescent="0.2">
      <c r="A31" s="27"/>
      <c r="B31" s="27"/>
      <c r="C31" s="27"/>
      <c r="D31" s="27"/>
      <c r="E31" s="16" t="s">
        <v>23</v>
      </c>
      <c r="F31" s="17">
        <f>AVERAGE(F24:F28)</f>
        <v>87</v>
      </c>
      <c r="G31" s="16"/>
      <c r="H31" s="18"/>
      <c r="I31" s="18"/>
      <c r="J31" s="36"/>
      <c r="K31" s="57"/>
      <c r="L31" s="18"/>
      <c r="M31" s="18"/>
      <c r="N31" s="36"/>
      <c r="O31" s="57"/>
      <c r="P31" s="18"/>
      <c r="Q31" s="18"/>
      <c r="R31" s="36"/>
      <c r="S31" s="57"/>
      <c r="T31" s="18"/>
      <c r="U31" s="18"/>
      <c r="V31" s="18"/>
      <c r="W31" s="18">
        <f>AVERAGE(W24:W30)</f>
        <v>9.4285714285714288</v>
      </c>
      <c r="X31" s="16"/>
      <c r="Y31" s="18"/>
      <c r="Z31" s="18"/>
      <c r="AA31" s="18"/>
      <c r="AB31" s="36">
        <f>AVERAGE(AB24:AB30)</f>
        <v>9.7142857142857135</v>
      </c>
    </row>
    <row r="32" spans="1:40" x14ac:dyDescent="0.2">
      <c r="A32" s="27"/>
      <c r="B32" s="27"/>
      <c r="C32" s="27"/>
      <c r="D32" s="27"/>
      <c r="E32" s="64" t="s">
        <v>14</v>
      </c>
      <c r="F32" s="20"/>
      <c r="G32" s="19"/>
      <c r="H32" s="20"/>
      <c r="I32" s="20"/>
      <c r="J32" s="21"/>
      <c r="K32" s="75"/>
      <c r="L32" s="20"/>
      <c r="M32" s="20"/>
      <c r="N32" s="21"/>
      <c r="O32" s="75"/>
      <c r="P32" s="20"/>
      <c r="Q32" s="20"/>
      <c r="R32" s="21"/>
      <c r="S32" s="75"/>
      <c r="T32" s="20"/>
      <c r="U32" s="20"/>
      <c r="V32" s="20"/>
      <c r="W32" s="22">
        <f>SUM(W24:W30)</f>
        <v>66</v>
      </c>
      <c r="X32" s="19"/>
      <c r="Y32" s="20"/>
      <c r="Z32" s="20"/>
      <c r="AA32" s="20"/>
      <c r="AB32" s="21">
        <f>SUM(AB24:AB30)</f>
        <v>68</v>
      </c>
    </row>
    <row r="33" spans="1:31" s="33" customFormat="1" x14ac:dyDescent="0.2">
      <c r="A33" s="23"/>
      <c r="B33" s="23"/>
      <c r="C33" s="15"/>
      <c r="D33" s="15"/>
      <c r="E33" s="11" t="s">
        <v>198</v>
      </c>
      <c r="F33" s="23"/>
      <c r="G33" s="25"/>
      <c r="H33" s="23"/>
      <c r="I33" s="23"/>
      <c r="J33" s="26"/>
      <c r="K33" s="23"/>
      <c r="L33" s="23"/>
      <c r="M33" s="23"/>
      <c r="N33" s="26"/>
      <c r="O33" s="23"/>
      <c r="P33" s="23"/>
      <c r="Q33" s="23"/>
      <c r="R33" s="26"/>
      <c r="S33" s="23"/>
      <c r="T33" s="23"/>
      <c r="U33" s="23"/>
      <c r="V33" s="23"/>
      <c r="W33" s="26"/>
      <c r="X33" s="25"/>
      <c r="Y33" s="23"/>
      <c r="Z33" s="23"/>
      <c r="AA33" s="23"/>
      <c r="AB33" s="26"/>
    </row>
    <row r="34" spans="1:31" s="33" customFormat="1" x14ac:dyDescent="0.2">
      <c r="B34" s="13">
        <v>41333</v>
      </c>
      <c r="C34" s="46">
        <f>14*24</f>
        <v>336</v>
      </c>
      <c r="D34" s="33">
        <v>0.1</v>
      </c>
      <c r="E34" s="33" t="s">
        <v>192</v>
      </c>
      <c r="F34" s="33">
        <f>60*3+45</f>
        <v>225</v>
      </c>
      <c r="G34" s="86" t="s">
        <v>247</v>
      </c>
      <c r="H34" s="85" t="s">
        <v>247</v>
      </c>
      <c r="I34" s="85" t="s">
        <v>247</v>
      </c>
      <c r="J34" s="83" t="s">
        <v>247</v>
      </c>
      <c r="K34" s="86" t="s">
        <v>247</v>
      </c>
      <c r="L34" s="85" t="s">
        <v>247</v>
      </c>
      <c r="M34" s="85" t="s">
        <v>247</v>
      </c>
      <c r="N34" s="83" t="s">
        <v>247</v>
      </c>
      <c r="O34" s="86" t="s">
        <v>247</v>
      </c>
      <c r="P34" s="85" t="s">
        <v>247</v>
      </c>
      <c r="Q34" s="85" t="s">
        <v>247</v>
      </c>
      <c r="R34" s="83" t="s">
        <v>247</v>
      </c>
      <c r="S34" s="15">
        <v>0</v>
      </c>
      <c r="T34" s="33">
        <v>0</v>
      </c>
      <c r="U34" s="46">
        <v>10</v>
      </c>
      <c r="V34" s="46">
        <v>0</v>
      </c>
      <c r="W34" s="33">
        <f t="shared" ref="W34:W39" si="6">SUM(S34:V34)</f>
        <v>10</v>
      </c>
      <c r="X34" s="6">
        <v>0</v>
      </c>
      <c r="Y34" s="33">
        <v>0</v>
      </c>
      <c r="Z34" s="46">
        <v>10</v>
      </c>
      <c r="AA34" s="46">
        <v>0</v>
      </c>
      <c r="AB34" s="43">
        <f t="shared" ref="AB34:AB39" si="7">SUM(X34:AA34)</f>
        <v>10</v>
      </c>
    </row>
    <row r="35" spans="1:31" s="33" customFormat="1" x14ac:dyDescent="0.2">
      <c r="B35" s="13">
        <v>41333</v>
      </c>
      <c r="C35" s="46">
        <f t="shared" ref="C35:C39" si="8">14*24</f>
        <v>336</v>
      </c>
      <c r="D35" s="33">
        <v>0.1</v>
      </c>
      <c r="E35" s="33" t="s">
        <v>193</v>
      </c>
      <c r="F35" s="33">
        <f>2*60+15</f>
        <v>135</v>
      </c>
      <c r="G35" s="86" t="s">
        <v>247</v>
      </c>
      <c r="H35" s="85" t="s">
        <v>247</v>
      </c>
      <c r="I35" s="85" t="s">
        <v>247</v>
      </c>
      <c r="J35" s="83" t="s">
        <v>247</v>
      </c>
      <c r="K35" s="86" t="s">
        <v>247</v>
      </c>
      <c r="L35" s="85" t="s">
        <v>247</v>
      </c>
      <c r="M35" s="85" t="s">
        <v>247</v>
      </c>
      <c r="N35" s="83" t="s">
        <v>247</v>
      </c>
      <c r="O35" s="86" t="s">
        <v>247</v>
      </c>
      <c r="P35" s="85" t="s">
        <v>247</v>
      </c>
      <c r="Q35" s="85" t="s">
        <v>247</v>
      </c>
      <c r="R35" s="83" t="s">
        <v>247</v>
      </c>
      <c r="S35" s="15">
        <v>0</v>
      </c>
      <c r="T35" s="33">
        <v>0</v>
      </c>
      <c r="U35" s="46">
        <v>8</v>
      </c>
      <c r="V35" s="46">
        <v>0</v>
      </c>
      <c r="W35" s="33">
        <f t="shared" si="6"/>
        <v>8</v>
      </c>
      <c r="X35" s="6">
        <v>0</v>
      </c>
      <c r="Y35" s="33">
        <v>0</v>
      </c>
      <c r="Z35" s="46">
        <v>8</v>
      </c>
      <c r="AA35" s="46">
        <v>0</v>
      </c>
      <c r="AB35" s="43">
        <f t="shared" si="7"/>
        <v>8</v>
      </c>
    </row>
    <row r="36" spans="1:31" s="33" customFormat="1" x14ac:dyDescent="0.2">
      <c r="B36" s="13">
        <v>41333</v>
      </c>
      <c r="C36" s="46">
        <f t="shared" si="8"/>
        <v>336</v>
      </c>
      <c r="D36" s="33">
        <v>0.1</v>
      </c>
      <c r="E36" s="33" t="s">
        <v>194</v>
      </c>
      <c r="F36" s="33">
        <f>2*60+45</f>
        <v>165</v>
      </c>
      <c r="G36" s="86" t="s">
        <v>247</v>
      </c>
      <c r="H36" s="85" t="s">
        <v>247</v>
      </c>
      <c r="I36" s="85" t="s">
        <v>247</v>
      </c>
      <c r="J36" s="83" t="s">
        <v>247</v>
      </c>
      <c r="K36" s="86" t="s">
        <v>247</v>
      </c>
      <c r="L36" s="85" t="s">
        <v>247</v>
      </c>
      <c r="M36" s="85" t="s">
        <v>247</v>
      </c>
      <c r="N36" s="83" t="s">
        <v>247</v>
      </c>
      <c r="O36" s="86" t="s">
        <v>247</v>
      </c>
      <c r="P36" s="85" t="s">
        <v>247</v>
      </c>
      <c r="Q36" s="85" t="s">
        <v>247</v>
      </c>
      <c r="R36" s="83" t="s">
        <v>247</v>
      </c>
      <c r="S36" s="15">
        <v>0</v>
      </c>
      <c r="T36" s="33">
        <v>0</v>
      </c>
      <c r="U36" s="46">
        <v>9</v>
      </c>
      <c r="V36" s="46">
        <v>0</v>
      </c>
      <c r="W36" s="33">
        <f t="shared" si="6"/>
        <v>9</v>
      </c>
      <c r="X36" s="6">
        <v>0</v>
      </c>
      <c r="Y36" s="33">
        <v>0</v>
      </c>
      <c r="Z36" s="46">
        <v>9</v>
      </c>
      <c r="AA36" s="46">
        <v>0</v>
      </c>
      <c r="AB36" s="43">
        <f t="shared" si="7"/>
        <v>9</v>
      </c>
    </row>
    <row r="37" spans="1:31" s="33" customFormat="1" x14ac:dyDescent="0.2">
      <c r="B37" s="13">
        <v>41333</v>
      </c>
      <c r="C37" s="46">
        <f t="shared" si="8"/>
        <v>336</v>
      </c>
      <c r="D37" s="33">
        <v>0.1</v>
      </c>
      <c r="E37" s="33" t="s">
        <v>195</v>
      </c>
      <c r="F37" s="33">
        <f>1*60+35</f>
        <v>95</v>
      </c>
      <c r="G37" s="86" t="s">
        <v>247</v>
      </c>
      <c r="H37" s="85" t="s">
        <v>247</v>
      </c>
      <c r="I37" s="85" t="s">
        <v>247</v>
      </c>
      <c r="J37" s="83" t="s">
        <v>247</v>
      </c>
      <c r="K37" s="86" t="s">
        <v>247</v>
      </c>
      <c r="L37" s="85" t="s">
        <v>247</v>
      </c>
      <c r="M37" s="85" t="s">
        <v>247</v>
      </c>
      <c r="N37" s="83" t="s">
        <v>247</v>
      </c>
      <c r="O37" s="86" t="s">
        <v>247</v>
      </c>
      <c r="P37" s="85" t="s">
        <v>247</v>
      </c>
      <c r="Q37" s="85" t="s">
        <v>247</v>
      </c>
      <c r="R37" s="83" t="s">
        <v>247</v>
      </c>
      <c r="S37" s="15">
        <v>0</v>
      </c>
      <c r="T37" s="33">
        <v>0</v>
      </c>
      <c r="U37" s="46">
        <v>9</v>
      </c>
      <c r="V37" s="46">
        <v>0</v>
      </c>
      <c r="W37" s="33">
        <f t="shared" si="6"/>
        <v>9</v>
      </c>
      <c r="X37" s="6">
        <v>0</v>
      </c>
      <c r="Y37" s="33">
        <v>0</v>
      </c>
      <c r="Z37" s="46">
        <v>9</v>
      </c>
      <c r="AA37" s="46">
        <v>0</v>
      </c>
      <c r="AB37" s="43">
        <f t="shared" si="7"/>
        <v>9</v>
      </c>
    </row>
    <row r="38" spans="1:31" s="33" customFormat="1" x14ac:dyDescent="0.2">
      <c r="B38" s="13">
        <v>41333</v>
      </c>
      <c r="C38" s="46">
        <f t="shared" si="8"/>
        <v>336</v>
      </c>
      <c r="D38" s="33">
        <v>0.1</v>
      </c>
      <c r="E38" s="33" t="s">
        <v>196</v>
      </c>
      <c r="F38" s="33">
        <f>60+30</f>
        <v>90</v>
      </c>
      <c r="G38" s="86" t="s">
        <v>247</v>
      </c>
      <c r="H38" s="85" t="s">
        <v>247</v>
      </c>
      <c r="I38" s="85" t="s">
        <v>247</v>
      </c>
      <c r="J38" s="83" t="s">
        <v>247</v>
      </c>
      <c r="K38" s="86" t="s">
        <v>247</v>
      </c>
      <c r="L38" s="85" t="s">
        <v>247</v>
      </c>
      <c r="M38" s="85" t="s">
        <v>247</v>
      </c>
      <c r="N38" s="83" t="s">
        <v>247</v>
      </c>
      <c r="O38" s="86" t="s">
        <v>247</v>
      </c>
      <c r="P38" s="85" t="s">
        <v>247</v>
      </c>
      <c r="Q38" s="85" t="s">
        <v>247</v>
      </c>
      <c r="R38" s="83" t="s">
        <v>247</v>
      </c>
      <c r="S38" s="15">
        <v>0</v>
      </c>
      <c r="T38" s="33">
        <v>0</v>
      </c>
      <c r="U38" s="46">
        <v>10</v>
      </c>
      <c r="V38" s="46">
        <v>0</v>
      </c>
      <c r="W38" s="33">
        <f t="shared" si="6"/>
        <v>10</v>
      </c>
      <c r="X38" s="6">
        <v>0</v>
      </c>
      <c r="Y38" s="33">
        <v>0</v>
      </c>
      <c r="Z38" s="46">
        <v>10</v>
      </c>
      <c r="AA38" s="46">
        <v>0</v>
      </c>
      <c r="AB38" s="43">
        <f t="shared" si="7"/>
        <v>10</v>
      </c>
    </row>
    <row r="39" spans="1:31" s="33" customFormat="1" x14ac:dyDescent="0.2">
      <c r="A39" s="27"/>
      <c r="B39" s="13">
        <v>41333</v>
      </c>
      <c r="C39" s="46">
        <f t="shared" si="8"/>
        <v>336</v>
      </c>
      <c r="D39" s="33">
        <v>0.1</v>
      </c>
      <c r="E39" s="33" t="s">
        <v>197</v>
      </c>
      <c r="F39" s="66">
        <f>60+50</f>
        <v>110</v>
      </c>
      <c r="G39" s="86" t="s">
        <v>247</v>
      </c>
      <c r="H39" s="85" t="s">
        <v>247</v>
      </c>
      <c r="I39" s="85" t="s">
        <v>247</v>
      </c>
      <c r="J39" s="83" t="s">
        <v>247</v>
      </c>
      <c r="K39" s="86" t="s">
        <v>247</v>
      </c>
      <c r="L39" s="85" t="s">
        <v>247</v>
      </c>
      <c r="M39" s="85" t="s">
        <v>247</v>
      </c>
      <c r="N39" s="83" t="s">
        <v>247</v>
      </c>
      <c r="O39" s="86" t="s">
        <v>247</v>
      </c>
      <c r="P39" s="85" t="s">
        <v>247</v>
      </c>
      <c r="Q39" s="85" t="s">
        <v>247</v>
      </c>
      <c r="R39" s="83" t="s">
        <v>247</v>
      </c>
      <c r="S39" s="15">
        <v>0</v>
      </c>
      <c r="T39" s="33">
        <v>0</v>
      </c>
      <c r="U39" s="46">
        <v>9</v>
      </c>
      <c r="V39" s="46">
        <v>0</v>
      </c>
      <c r="W39" s="66">
        <f t="shared" si="6"/>
        <v>9</v>
      </c>
      <c r="X39" s="6">
        <v>0</v>
      </c>
      <c r="Y39" s="33">
        <v>0</v>
      </c>
      <c r="Z39" s="46">
        <v>9</v>
      </c>
      <c r="AA39" s="46">
        <v>0</v>
      </c>
      <c r="AB39" s="79">
        <f t="shared" si="7"/>
        <v>9</v>
      </c>
    </row>
    <row r="40" spans="1:31" s="33" customFormat="1" x14ac:dyDescent="0.2">
      <c r="A40" s="27"/>
      <c r="B40" s="27"/>
      <c r="C40" s="27"/>
      <c r="D40" s="27"/>
      <c r="E40" s="16" t="s">
        <v>23</v>
      </c>
      <c r="F40" s="17">
        <f>AVERAGE(F34:F38)</f>
        <v>142</v>
      </c>
      <c r="G40" s="16"/>
      <c r="H40" s="18"/>
      <c r="I40" s="18"/>
      <c r="J40" s="36"/>
      <c r="K40" s="57"/>
      <c r="L40" s="18"/>
      <c r="M40" s="18"/>
      <c r="N40" s="36"/>
      <c r="O40" s="57"/>
      <c r="P40" s="18"/>
      <c r="Q40" s="18"/>
      <c r="R40" s="36"/>
      <c r="S40" s="57"/>
      <c r="T40" s="18"/>
      <c r="U40" s="18"/>
      <c r="V40" s="18"/>
      <c r="W40" s="18">
        <f>AVERAGE(W34:W39)</f>
        <v>9.1666666666666661</v>
      </c>
      <c r="X40" s="16"/>
      <c r="Y40" s="18"/>
      <c r="Z40" s="18"/>
      <c r="AA40" s="18"/>
      <c r="AB40" s="36">
        <f>AVERAGE(AB34:AB39)</f>
        <v>9.1666666666666661</v>
      </c>
    </row>
    <row r="41" spans="1:31" s="33" customFormat="1" x14ac:dyDescent="0.2">
      <c r="A41" s="27"/>
      <c r="B41" s="27"/>
      <c r="C41" s="27"/>
      <c r="D41" s="27"/>
      <c r="E41" s="64" t="s">
        <v>14</v>
      </c>
      <c r="F41" s="20"/>
      <c r="G41" s="19"/>
      <c r="H41" s="20"/>
      <c r="I41" s="20"/>
      <c r="J41" s="21"/>
      <c r="K41" s="75"/>
      <c r="L41" s="20"/>
      <c r="M41" s="20"/>
      <c r="N41" s="21"/>
      <c r="O41" s="75"/>
      <c r="P41" s="20"/>
      <c r="Q41" s="20"/>
      <c r="R41" s="21"/>
      <c r="S41" s="75"/>
      <c r="T41" s="20"/>
      <c r="U41" s="20"/>
      <c r="V41" s="20"/>
      <c r="W41" s="22">
        <f>SUM(W34:W39)</f>
        <v>55</v>
      </c>
      <c r="X41" s="19"/>
      <c r="Y41" s="20"/>
      <c r="Z41" s="20"/>
      <c r="AA41" s="20"/>
      <c r="AB41" s="21">
        <f>SUM(AB34:AB39)</f>
        <v>55</v>
      </c>
    </row>
    <row r="42" spans="1:31" x14ac:dyDescent="0.2">
      <c r="A42" s="23" t="s">
        <v>265</v>
      </c>
      <c r="B42" s="23"/>
      <c r="C42" s="15"/>
      <c r="D42" s="15"/>
      <c r="E42" s="11" t="s">
        <v>187</v>
      </c>
      <c r="F42" s="23"/>
      <c r="G42" s="25"/>
      <c r="H42" s="23"/>
      <c r="I42" s="23"/>
      <c r="J42" s="26"/>
      <c r="K42" s="23"/>
      <c r="L42" s="23"/>
      <c r="M42" s="23"/>
      <c r="N42" s="26"/>
      <c r="O42" s="23"/>
      <c r="P42" s="23"/>
      <c r="Q42" s="23"/>
      <c r="R42" s="26"/>
      <c r="S42" s="23"/>
      <c r="T42" s="23"/>
      <c r="U42" s="23"/>
      <c r="V42" s="23"/>
      <c r="W42" s="23"/>
      <c r="X42" s="25"/>
      <c r="Y42" s="23"/>
      <c r="Z42" s="23"/>
      <c r="AA42" s="23"/>
      <c r="AB42" s="26"/>
    </row>
    <row r="43" spans="1:31" x14ac:dyDescent="0.2">
      <c r="A43" s="82" t="s">
        <v>256</v>
      </c>
      <c r="B43" s="31">
        <v>41317</v>
      </c>
      <c r="C43" s="46">
        <v>2</v>
      </c>
      <c r="D43" s="33">
        <v>1</v>
      </c>
      <c r="E43" s="33" t="s">
        <v>186</v>
      </c>
      <c r="F43" s="85">
        <f>60*9</f>
        <v>540</v>
      </c>
      <c r="G43" s="6">
        <v>5</v>
      </c>
      <c r="H43" s="85">
        <v>4</v>
      </c>
      <c r="I43" s="33" t="s">
        <v>247</v>
      </c>
      <c r="J43" s="43">
        <v>0</v>
      </c>
      <c r="K43" s="15">
        <v>16</v>
      </c>
      <c r="L43" s="15">
        <v>1</v>
      </c>
      <c r="M43" s="15">
        <v>3</v>
      </c>
      <c r="N43" s="56">
        <v>0</v>
      </c>
      <c r="O43" s="15">
        <v>18</v>
      </c>
      <c r="P43" s="46">
        <v>1</v>
      </c>
      <c r="Q43" s="46">
        <v>1</v>
      </c>
      <c r="R43" s="56">
        <v>0</v>
      </c>
      <c r="S43" s="15">
        <v>18</v>
      </c>
      <c r="T43" s="46">
        <v>0</v>
      </c>
      <c r="U43" s="46">
        <v>2</v>
      </c>
      <c r="V43" s="46">
        <v>0</v>
      </c>
      <c r="W43" s="33">
        <f t="shared" ref="W43:W46" si="9">SUM(S43:V43)</f>
        <v>20</v>
      </c>
      <c r="X43" s="6">
        <v>16</v>
      </c>
      <c r="Y43" s="46">
        <v>2</v>
      </c>
      <c r="Z43" s="46">
        <v>2</v>
      </c>
      <c r="AA43" s="46">
        <v>0</v>
      </c>
      <c r="AB43" s="43">
        <f t="shared" ref="AB43:AB46" si="10">SUM(X43:AA43)</f>
        <v>20</v>
      </c>
      <c r="AE43" s="106"/>
    </row>
    <row r="44" spans="1:31" x14ac:dyDescent="0.2">
      <c r="A44" s="82" t="s">
        <v>257</v>
      </c>
      <c r="B44" s="13">
        <v>41339</v>
      </c>
      <c r="C44" s="46">
        <v>2</v>
      </c>
      <c r="D44" s="33">
        <v>1</v>
      </c>
      <c r="E44" s="33" t="s">
        <v>210</v>
      </c>
      <c r="F44" s="33">
        <f>7*60+45</f>
        <v>465</v>
      </c>
      <c r="G44" s="86">
        <v>4</v>
      </c>
      <c r="H44" s="85">
        <v>2</v>
      </c>
      <c r="I44" s="67">
        <v>14</v>
      </c>
      <c r="J44" s="79">
        <v>0</v>
      </c>
      <c r="K44" s="82">
        <v>18</v>
      </c>
      <c r="L44" s="67">
        <v>0</v>
      </c>
      <c r="M44" s="67">
        <v>2</v>
      </c>
      <c r="N44" s="79">
        <v>0</v>
      </c>
      <c r="O44" s="82">
        <v>17</v>
      </c>
      <c r="P44" s="46">
        <v>1</v>
      </c>
      <c r="Q44" s="46">
        <v>0</v>
      </c>
      <c r="R44" s="56">
        <v>1</v>
      </c>
      <c r="S44" s="15">
        <v>13</v>
      </c>
      <c r="T44" s="46">
        <v>3</v>
      </c>
      <c r="U44" s="46">
        <v>2</v>
      </c>
      <c r="V44" s="46">
        <v>0</v>
      </c>
      <c r="W44" s="33">
        <f t="shared" si="9"/>
        <v>18</v>
      </c>
      <c r="X44" s="6">
        <v>15</v>
      </c>
      <c r="Y44" s="46">
        <v>2</v>
      </c>
      <c r="Z44" s="46">
        <v>1</v>
      </c>
      <c r="AA44" s="46">
        <v>0</v>
      </c>
      <c r="AB44" s="43">
        <f t="shared" si="10"/>
        <v>18</v>
      </c>
    </row>
    <row r="45" spans="1:31" x14ac:dyDescent="0.2">
      <c r="A45" s="82" t="s">
        <v>258</v>
      </c>
      <c r="B45" s="13">
        <v>41339</v>
      </c>
      <c r="C45" s="46">
        <v>2</v>
      </c>
      <c r="D45" s="33">
        <v>1</v>
      </c>
      <c r="E45" s="33" t="s">
        <v>211</v>
      </c>
      <c r="F45" s="33">
        <f>7*60+35</f>
        <v>455</v>
      </c>
      <c r="G45" s="86">
        <v>9</v>
      </c>
      <c r="H45" s="85">
        <v>1</v>
      </c>
      <c r="I45" s="67" t="s">
        <v>247</v>
      </c>
      <c r="J45" s="83">
        <v>0</v>
      </c>
      <c r="K45" s="67">
        <v>13</v>
      </c>
      <c r="L45" s="85">
        <v>3</v>
      </c>
      <c r="M45" s="82" t="s">
        <v>247</v>
      </c>
      <c r="N45" s="83">
        <v>0</v>
      </c>
      <c r="O45" s="82">
        <v>21</v>
      </c>
      <c r="P45" s="15">
        <v>3</v>
      </c>
      <c r="Q45" s="15">
        <v>0</v>
      </c>
      <c r="R45" s="56">
        <v>0</v>
      </c>
      <c r="S45" s="27">
        <v>22</v>
      </c>
      <c r="T45" s="45">
        <v>2</v>
      </c>
      <c r="U45" s="45">
        <v>0</v>
      </c>
      <c r="V45" s="45">
        <v>0</v>
      </c>
      <c r="W45" s="33">
        <f t="shared" si="9"/>
        <v>24</v>
      </c>
      <c r="X45" s="32">
        <v>22</v>
      </c>
      <c r="Y45" s="45">
        <v>2</v>
      </c>
      <c r="Z45" s="45">
        <v>0</v>
      </c>
      <c r="AA45" s="45">
        <v>0</v>
      </c>
      <c r="AB45" s="43">
        <f t="shared" si="10"/>
        <v>24</v>
      </c>
    </row>
    <row r="46" spans="1:31" x14ac:dyDescent="0.2">
      <c r="A46" s="27"/>
      <c r="B46" s="13">
        <v>41339</v>
      </c>
      <c r="C46" s="46">
        <v>2</v>
      </c>
      <c r="D46" s="33">
        <v>1</v>
      </c>
      <c r="E46" s="33" t="s">
        <v>212</v>
      </c>
      <c r="F46" s="33">
        <f>7*60+25</f>
        <v>445</v>
      </c>
      <c r="G46" s="86">
        <v>0</v>
      </c>
      <c r="H46" s="85">
        <v>5</v>
      </c>
      <c r="I46" s="85" t="s">
        <v>247</v>
      </c>
      <c r="J46" s="83">
        <v>0</v>
      </c>
      <c r="K46" s="82">
        <v>11</v>
      </c>
      <c r="L46" s="82">
        <v>4</v>
      </c>
      <c r="M46" s="82">
        <v>5</v>
      </c>
      <c r="N46" s="79">
        <v>0</v>
      </c>
      <c r="O46" s="82">
        <v>12</v>
      </c>
      <c r="P46" s="45">
        <v>3</v>
      </c>
      <c r="Q46" s="45">
        <v>5</v>
      </c>
      <c r="R46" s="53">
        <v>0</v>
      </c>
      <c r="S46" s="27">
        <v>14</v>
      </c>
      <c r="T46" s="45">
        <v>0</v>
      </c>
      <c r="U46" s="45">
        <v>6</v>
      </c>
      <c r="V46" s="45">
        <v>0</v>
      </c>
      <c r="W46" s="33">
        <f t="shared" si="9"/>
        <v>20</v>
      </c>
      <c r="X46" s="32">
        <v>15</v>
      </c>
      <c r="Y46" s="45">
        <v>0</v>
      </c>
      <c r="Z46" s="45">
        <v>4</v>
      </c>
      <c r="AA46" s="45">
        <v>0</v>
      </c>
      <c r="AB46" s="43">
        <f t="shared" si="10"/>
        <v>19</v>
      </c>
    </row>
    <row r="47" spans="1:31" x14ac:dyDescent="0.2">
      <c r="A47" s="27"/>
      <c r="B47" s="27"/>
      <c r="C47" s="27"/>
      <c r="D47" s="27"/>
      <c r="E47" s="16" t="s">
        <v>23</v>
      </c>
      <c r="F47" s="17">
        <f>AVERAGE(F44:F46)</f>
        <v>455</v>
      </c>
      <c r="G47" s="16"/>
      <c r="H47" s="18"/>
      <c r="I47" s="18"/>
      <c r="J47" s="36"/>
      <c r="K47" s="57"/>
      <c r="L47" s="18"/>
      <c r="M47" s="18"/>
      <c r="N47" s="36"/>
      <c r="O47" s="57"/>
      <c r="P47" s="18"/>
      <c r="Q47" s="18"/>
      <c r="R47" s="36"/>
      <c r="S47" s="57"/>
      <c r="T47" s="18"/>
      <c r="U47" s="18"/>
      <c r="V47" s="18"/>
      <c r="W47" s="18">
        <f>AVERAGE(W43:W46)</f>
        <v>20.5</v>
      </c>
      <c r="X47" s="16"/>
      <c r="Y47" s="18"/>
      <c r="Z47" s="18"/>
      <c r="AA47" s="18"/>
      <c r="AB47" s="36">
        <f>AVERAGE(AB43:AB46)</f>
        <v>20.25</v>
      </c>
    </row>
    <row r="48" spans="1:31" x14ac:dyDescent="0.2">
      <c r="A48" s="27"/>
      <c r="B48" s="27"/>
      <c r="C48" s="27"/>
      <c r="D48" s="27"/>
      <c r="E48" s="64" t="s">
        <v>14</v>
      </c>
      <c r="F48" s="20"/>
      <c r="G48" s="19"/>
      <c r="H48" s="20"/>
      <c r="I48" s="20"/>
      <c r="J48" s="21"/>
      <c r="K48" s="75"/>
      <c r="L48" s="20"/>
      <c r="M48" s="20"/>
      <c r="N48" s="21"/>
      <c r="O48" s="75"/>
      <c r="P48" s="20"/>
      <c r="Q48" s="20"/>
      <c r="R48" s="21"/>
      <c r="S48" s="75"/>
      <c r="T48" s="20"/>
      <c r="U48" s="20"/>
      <c r="V48" s="20"/>
      <c r="W48" s="22">
        <f>SUM(W43:W46)</f>
        <v>82</v>
      </c>
      <c r="X48" s="19"/>
      <c r="Y48" s="20"/>
      <c r="Z48" s="20"/>
      <c r="AA48" s="20"/>
      <c r="AB48" s="21">
        <f>SUM(AB43:AB46)</f>
        <v>81</v>
      </c>
    </row>
    <row r="49" spans="1:28" x14ac:dyDescent="0.2">
      <c r="A49" s="23"/>
      <c r="B49" s="23"/>
      <c r="C49" s="15"/>
      <c r="D49" s="15"/>
      <c r="E49" s="11" t="s">
        <v>166</v>
      </c>
      <c r="F49" s="23"/>
      <c r="G49" s="25"/>
      <c r="H49" s="23"/>
      <c r="I49" s="23"/>
      <c r="J49" s="26"/>
      <c r="K49" s="23"/>
      <c r="L49" s="23"/>
      <c r="M49" s="23"/>
      <c r="N49" s="26"/>
      <c r="O49" s="23"/>
      <c r="P49" s="23"/>
      <c r="Q49" s="23"/>
      <c r="R49" s="26"/>
      <c r="S49" s="23"/>
      <c r="T49" s="23"/>
      <c r="U49" s="23"/>
      <c r="V49" s="23"/>
      <c r="W49" s="26"/>
      <c r="X49" s="25"/>
      <c r="Y49" s="23"/>
      <c r="Z49" s="23"/>
      <c r="AA49" s="23"/>
      <c r="AB49" s="26"/>
    </row>
    <row r="50" spans="1:28" x14ac:dyDescent="0.2">
      <c r="A50" s="33"/>
      <c r="B50" s="84">
        <v>41296</v>
      </c>
      <c r="C50" s="46">
        <v>24</v>
      </c>
      <c r="D50" s="33">
        <v>1</v>
      </c>
      <c r="E50" s="33" t="s">
        <v>184</v>
      </c>
      <c r="F50" s="33">
        <f>9*60+45</f>
        <v>585</v>
      </c>
      <c r="G50" s="6" t="s">
        <v>247</v>
      </c>
      <c r="H50" s="33" t="s">
        <v>247</v>
      </c>
      <c r="I50" s="46" t="s">
        <v>247</v>
      </c>
      <c r="J50" s="43" t="s">
        <v>247</v>
      </c>
      <c r="K50" s="46" t="s">
        <v>247</v>
      </c>
      <c r="L50" s="46" t="s">
        <v>247</v>
      </c>
      <c r="M50" s="46" t="s">
        <v>247</v>
      </c>
      <c r="N50" s="43" t="s">
        <v>247</v>
      </c>
      <c r="O50" s="15">
        <v>0</v>
      </c>
      <c r="P50" s="15">
        <v>1</v>
      </c>
      <c r="Q50" s="15">
        <v>8</v>
      </c>
      <c r="R50" s="56">
        <v>0</v>
      </c>
      <c r="S50" s="15">
        <v>0</v>
      </c>
      <c r="T50" s="46">
        <v>0</v>
      </c>
      <c r="U50" s="46">
        <v>10</v>
      </c>
      <c r="V50" s="46">
        <v>0</v>
      </c>
      <c r="W50" s="33">
        <f t="shared" ref="W50:W55" si="11">SUM(S50:V50)</f>
        <v>10</v>
      </c>
      <c r="X50" s="6">
        <v>0</v>
      </c>
      <c r="Y50" s="46">
        <v>0</v>
      </c>
      <c r="Z50" s="46">
        <v>9</v>
      </c>
      <c r="AA50" s="46">
        <v>0</v>
      </c>
      <c r="AB50" s="43">
        <f t="shared" ref="AB50:AB55" si="12">SUM(X50:AA50)</f>
        <v>9</v>
      </c>
    </row>
    <row r="51" spans="1:28" x14ac:dyDescent="0.2">
      <c r="A51" s="33"/>
      <c r="B51" s="84">
        <v>41296</v>
      </c>
      <c r="C51" s="46">
        <v>24</v>
      </c>
      <c r="D51" s="33">
        <v>1</v>
      </c>
      <c r="E51" s="33" t="s">
        <v>185</v>
      </c>
      <c r="F51" s="33">
        <f>9*60+30</f>
        <v>570</v>
      </c>
      <c r="G51" s="6" t="s">
        <v>247</v>
      </c>
      <c r="H51" s="33" t="s">
        <v>247</v>
      </c>
      <c r="I51" s="46" t="s">
        <v>247</v>
      </c>
      <c r="J51" s="43" t="s">
        <v>247</v>
      </c>
      <c r="K51" s="46" t="s">
        <v>247</v>
      </c>
      <c r="L51" s="46" t="s">
        <v>247</v>
      </c>
      <c r="M51" s="46" t="s">
        <v>247</v>
      </c>
      <c r="N51" s="43" t="s">
        <v>247</v>
      </c>
      <c r="O51" s="15">
        <v>0</v>
      </c>
      <c r="P51" s="15">
        <v>1</v>
      </c>
      <c r="Q51" s="15">
        <v>9</v>
      </c>
      <c r="R51" s="56">
        <v>0</v>
      </c>
      <c r="S51" s="15">
        <v>0</v>
      </c>
      <c r="T51" s="46">
        <v>0</v>
      </c>
      <c r="U51" s="46">
        <v>10</v>
      </c>
      <c r="V51" s="46">
        <v>0</v>
      </c>
      <c r="W51" s="33">
        <f t="shared" si="11"/>
        <v>10</v>
      </c>
      <c r="X51" s="6">
        <v>0</v>
      </c>
      <c r="Y51" s="46">
        <v>1</v>
      </c>
      <c r="Z51" s="46">
        <v>9</v>
      </c>
      <c r="AA51" s="46">
        <v>0</v>
      </c>
      <c r="AB51" s="43">
        <f t="shared" si="12"/>
        <v>10</v>
      </c>
    </row>
    <row r="52" spans="1:28" x14ac:dyDescent="0.2">
      <c r="A52" s="33"/>
      <c r="B52" s="84">
        <v>41360</v>
      </c>
      <c r="C52" s="46">
        <v>24</v>
      </c>
      <c r="D52" s="33">
        <v>1</v>
      </c>
      <c r="E52" s="85" t="s">
        <v>218</v>
      </c>
      <c r="F52" s="85">
        <f>5*60</f>
        <v>300</v>
      </c>
      <c r="G52" s="86">
        <v>0</v>
      </c>
      <c r="H52" s="85">
        <v>0</v>
      </c>
      <c r="I52" s="67" t="s">
        <v>247</v>
      </c>
      <c r="J52" s="83">
        <v>0</v>
      </c>
      <c r="K52" s="67">
        <v>0</v>
      </c>
      <c r="L52" s="85">
        <v>2</v>
      </c>
      <c r="M52" s="67" t="s">
        <v>247</v>
      </c>
      <c r="N52" s="83">
        <v>0</v>
      </c>
      <c r="O52" s="67">
        <v>0</v>
      </c>
      <c r="P52" s="82">
        <v>3</v>
      </c>
      <c r="Q52" s="67" t="s">
        <v>247</v>
      </c>
      <c r="R52" s="79">
        <v>0</v>
      </c>
      <c r="S52" s="15">
        <v>0</v>
      </c>
      <c r="T52" s="15">
        <v>3</v>
      </c>
      <c r="U52" s="15">
        <v>16</v>
      </c>
      <c r="V52" s="46">
        <v>0</v>
      </c>
      <c r="W52" s="33">
        <f t="shared" si="11"/>
        <v>19</v>
      </c>
      <c r="X52" s="6">
        <v>0</v>
      </c>
      <c r="Y52" s="46">
        <v>3</v>
      </c>
      <c r="Z52" s="46">
        <v>16</v>
      </c>
      <c r="AA52" s="46">
        <v>0</v>
      </c>
      <c r="AB52" s="43">
        <f t="shared" si="12"/>
        <v>19</v>
      </c>
    </row>
    <row r="53" spans="1:28" s="33" customFormat="1" x14ac:dyDescent="0.2">
      <c r="B53" s="84">
        <v>41360</v>
      </c>
      <c r="C53" s="46">
        <v>24</v>
      </c>
      <c r="D53" s="33">
        <v>1</v>
      </c>
      <c r="E53" s="85" t="s">
        <v>219</v>
      </c>
      <c r="F53" s="85">
        <f>3*60+30</f>
        <v>210</v>
      </c>
      <c r="G53" s="86">
        <v>0</v>
      </c>
      <c r="H53" s="85">
        <v>0</v>
      </c>
      <c r="I53" s="67" t="s">
        <v>247</v>
      </c>
      <c r="J53" s="83">
        <v>0</v>
      </c>
      <c r="K53" s="67">
        <v>0</v>
      </c>
      <c r="L53" s="82">
        <v>1</v>
      </c>
      <c r="M53" s="67" t="s">
        <v>247</v>
      </c>
      <c r="N53" s="83">
        <v>0</v>
      </c>
      <c r="O53" s="67">
        <v>0</v>
      </c>
      <c r="P53" s="85">
        <v>1</v>
      </c>
      <c r="Q53" s="67" t="s">
        <v>247</v>
      </c>
      <c r="R53" s="79">
        <v>0</v>
      </c>
      <c r="S53" s="15">
        <v>1</v>
      </c>
      <c r="T53" s="46">
        <v>1</v>
      </c>
      <c r="U53" s="46">
        <v>19</v>
      </c>
      <c r="V53" s="46">
        <v>0</v>
      </c>
      <c r="W53" s="33">
        <f t="shared" si="11"/>
        <v>21</v>
      </c>
      <c r="X53" s="6">
        <v>0</v>
      </c>
      <c r="Y53" s="46">
        <v>1</v>
      </c>
      <c r="Z53" s="46">
        <v>20</v>
      </c>
      <c r="AA53" s="46">
        <v>0</v>
      </c>
      <c r="AB53" s="43">
        <f t="shared" si="12"/>
        <v>21</v>
      </c>
    </row>
    <row r="54" spans="1:28" s="33" customFormat="1" x14ac:dyDescent="0.2">
      <c r="B54" s="84">
        <v>41360</v>
      </c>
      <c r="C54" s="46">
        <v>24</v>
      </c>
      <c r="D54" s="33">
        <v>1</v>
      </c>
      <c r="E54" s="85" t="s">
        <v>221</v>
      </c>
      <c r="F54" s="85">
        <f>4*60+40</f>
        <v>280</v>
      </c>
      <c r="G54" s="86">
        <v>0</v>
      </c>
      <c r="H54" s="85">
        <v>1</v>
      </c>
      <c r="I54" s="67" t="s">
        <v>247</v>
      </c>
      <c r="J54" s="83">
        <v>0</v>
      </c>
      <c r="K54" s="67">
        <v>0</v>
      </c>
      <c r="L54" s="82">
        <v>1</v>
      </c>
      <c r="M54" s="67" t="s">
        <v>247</v>
      </c>
      <c r="N54" s="83">
        <v>0</v>
      </c>
      <c r="O54" s="67">
        <v>0</v>
      </c>
      <c r="P54" s="67">
        <v>1</v>
      </c>
      <c r="Q54" s="67" t="s">
        <v>247</v>
      </c>
      <c r="R54" s="79">
        <v>0</v>
      </c>
      <c r="S54" s="15">
        <v>0</v>
      </c>
      <c r="T54" s="46">
        <v>0</v>
      </c>
      <c r="U54" s="46">
        <v>21</v>
      </c>
      <c r="V54" s="46">
        <v>0</v>
      </c>
      <c r="W54" s="33">
        <f t="shared" si="11"/>
        <v>21</v>
      </c>
      <c r="X54" s="6">
        <v>0</v>
      </c>
      <c r="Y54" s="46">
        <v>0</v>
      </c>
      <c r="Z54" s="46">
        <v>21</v>
      </c>
      <c r="AA54" s="46">
        <v>0</v>
      </c>
      <c r="AB54" s="43">
        <f t="shared" si="12"/>
        <v>21</v>
      </c>
    </row>
    <row r="55" spans="1:28" s="33" customFormat="1" x14ac:dyDescent="0.2">
      <c r="B55" s="84">
        <v>41360</v>
      </c>
      <c r="C55" s="46">
        <v>24</v>
      </c>
      <c r="D55" s="33">
        <v>1</v>
      </c>
      <c r="E55" s="85" t="s">
        <v>222</v>
      </c>
      <c r="F55" s="85">
        <f>5*60+20</f>
        <v>320</v>
      </c>
      <c r="G55" s="86">
        <v>0</v>
      </c>
      <c r="H55" s="85">
        <v>1</v>
      </c>
      <c r="I55" s="67" t="s">
        <v>247</v>
      </c>
      <c r="J55" s="83">
        <v>0</v>
      </c>
      <c r="K55" s="67">
        <v>0</v>
      </c>
      <c r="L55" s="67">
        <v>2</v>
      </c>
      <c r="M55" s="67" t="s">
        <v>247</v>
      </c>
      <c r="N55" s="83">
        <v>0</v>
      </c>
      <c r="O55" s="67">
        <v>0</v>
      </c>
      <c r="P55" s="67">
        <v>1</v>
      </c>
      <c r="Q55" s="67" t="s">
        <v>247</v>
      </c>
      <c r="R55" s="79">
        <v>0</v>
      </c>
      <c r="S55" s="15">
        <v>0</v>
      </c>
      <c r="T55" s="46">
        <v>1</v>
      </c>
      <c r="U55" s="46">
        <v>17</v>
      </c>
      <c r="V55" s="46">
        <v>0</v>
      </c>
      <c r="W55" s="33">
        <f t="shared" si="11"/>
        <v>18</v>
      </c>
      <c r="X55" s="6">
        <v>0</v>
      </c>
      <c r="Y55" s="46">
        <v>0</v>
      </c>
      <c r="Z55" s="46">
        <v>18</v>
      </c>
      <c r="AA55" s="46">
        <v>0</v>
      </c>
      <c r="AB55" s="43">
        <f t="shared" si="12"/>
        <v>18</v>
      </c>
    </row>
    <row r="56" spans="1:28" x14ac:dyDescent="0.2">
      <c r="A56" s="33"/>
      <c r="B56" s="33"/>
      <c r="E56" s="16" t="s">
        <v>23</v>
      </c>
      <c r="F56" s="17">
        <f>AVERAGE(F50:F55)</f>
        <v>377.5</v>
      </c>
      <c r="G56" s="16"/>
      <c r="H56" s="18"/>
      <c r="I56" s="18"/>
      <c r="J56" s="36"/>
      <c r="K56" s="57"/>
      <c r="L56" s="18"/>
      <c r="M56" s="18"/>
      <c r="N56" s="36"/>
      <c r="O56" s="57"/>
      <c r="P56" s="18"/>
      <c r="Q56" s="18"/>
      <c r="R56" s="36"/>
      <c r="S56" s="57"/>
      <c r="T56" s="18"/>
      <c r="U56" s="18"/>
      <c r="V56" s="18"/>
      <c r="W56" s="18">
        <f>AVERAGE(W50:W52)</f>
        <v>13</v>
      </c>
      <c r="X56" s="16"/>
      <c r="Y56" s="18"/>
      <c r="Z56" s="18"/>
      <c r="AA56" s="18"/>
      <c r="AB56" s="36">
        <f>AVERAGE(AB50:AB52)</f>
        <v>12.666666666666666</v>
      </c>
    </row>
    <row r="57" spans="1:28" x14ac:dyDescent="0.2">
      <c r="A57" s="33"/>
      <c r="B57" s="33"/>
      <c r="E57" s="64" t="s">
        <v>14</v>
      </c>
      <c r="F57" s="20"/>
      <c r="G57" s="19"/>
      <c r="H57" s="20"/>
      <c r="I57" s="20"/>
      <c r="J57" s="21"/>
      <c r="K57" s="75"/>
      <c r="L57" s="20"/>
      <c r="M57" s="20"/>
      <c r="N57" s="21"/>
      <c r="O57" s="75"/>
      <c r="P57" s="20"/>
      <c r="Q57" s="20"/>
      <c r="R57" s="21"/>
      <c r="S57" s="75"/>
      <c r="T57" s="20"/>
      <c r="U57" s="20"/>
      <c r="V57" s="20"/>
      <c r="W57" s="20">
        <f>SUM(W50:W52)</f>
        <v>39</v>
      </c>
      <c r="X57" s="19"/>
      <c r="Y57" s="20"/>
      <c r="Z57" s="20"/>
      <c r="AA57" s="20"/>
      <c r="AB57" s="21">
        <f>SUM(AB50:AB52)</f>
        <v>38</v>
      </c>
    </row>
    <row r="58" spans="1:28" x14ac:dyDescent="0.2">
      <c r="A58" s="23"/>
      <c r="B58" s="23"/>
      <c r="C58" s="15"/>
      <c r="D58" s="15"/>
      <c r="E58" s="11" t="s">
        <v>168</v>
      </c>
      <c r="F58" s="23"/>
      <c r="G58" s="25"/>
      <c r="H58" s="23"/>
      <c r="I58" s="23"/>
      <c r="J58" s="26"/>
      <c r="K58" s="23"/>
      <c r="L58" s="23"/>
      <c r="M58" s="23"/>
      <c r="N58" s="26"/>
      <c r="O58" s="23"/>
      <c r="P58" s="23"/>
      <c r="Q58" s="23"/>
      <c r="R58" s="26"/>
      <c r="S58" s="23"/>
      <c r="T58" s="23"/>
      <c r="U58" s="23"/>
      <c r="V58" s="23"/>
      <c r="W58" s="23"/>
      <c r="X58" s="25"/>
      <c r="Y58" s="23"/>
      <c r="Z58" s="23"/>
      <c r="AA58" s="23"/>
      <c r="AB58" s="26"/>
    </row>
    <row r="59" spans="1:28" x14ac:dyDescent="0.2">
      <c r="A59" s="85" t="s">
        <v>259</v>
      </c>
      <c r="B59" s="84">
        <v>41296</v>
      </c>
      <c r="C59" s="46">
        <v>48</v>
      </c>
      <c r="D59" s="33">
        <v>1</v>
      </c>
      <c r="E59" s="33" t="s">
        <v>172</v>
      </c>
      <c r="F59" s="33">
        <f>10*60+30</f>
        <v>630</v>
      </c>
      <c r="G59" s="86" t="s">
        <v>247</v>
      </c>
      <c r="H59" s="85" t="s">
        <v>247</v>
      </c>
      <c r="I59" s="67" t="s">
        <v>247</v>
      </c>
      <c r="J59" s="83" t="s">
        <v>247</v>
      </c>
      <c r="K59" s="67" t="s">
        <v>247</v>
      </c>
      <c r="L59" s="67" t="s">
        <v>247</v>
      </c>
      <c r="M59" s="67" t="s">
        <v>247</v>
      </c>
      <c r="N59" s="83" t="s">
        <v>247</v>
      </c>
      <c r="O59" s="15">
        <v>3</v>
      </c>
      <c r="P59" s="15">
        <v>1</v>
      </c>
      <c r="Q59" s="15">
        <v>6</v>
      </c>
      <c r="R59" s="56">
        <v>0</v>
      </c>
      <c r="S59" s="15">
        <v>2</v>
      </c>
      <c r="T59" s="46">
        <v>2</v>
      </c>
      <c r="U59" s="46">
        <v>5</v>
      </c>
      <c r="V59" s="46">
        <v>0</v>
      </c>
      <c r="W59" s="33">
        <f t="shared" ref="W59:W67" si="13">SUM(S59:V59)</f>
        <v>9</v>
      </c>
      <c r="X59" s="6">
        <v>1</v>
      </c>
      <c r="Y59" s="46">
        <v>2</v>
      </c>
      <c r="Z59" s="46">
        <v>6</v>
      </c>
      <c r="AA59" s="67">
        <v>1</v>
      </c>
      <c r="AB59" s="43">
        <f t="shared" ref="AB59:AB67" si="14">SUM(X59:AA59)</f>
        <v>10</v>
      </c>
    </row>
    <row r="60" spans="1:28" x14ac:dyDescent="0.2">
      <c r="A60" s="33"/>
      <c r="B60" s="84">
        <v>41296</v>
      </c>
      <c r="C60" s="46">
        <v>48</v>
      </c>
      <c r="D60" s="33">
        <v>1</v>
      </c>
      <c r="E60" s="33" t="s">
        <v>173</v>
      </c>
      <c r="F60" s="33">
        <f>11*60+30</f>
        <v>690</v>
      </c>
      <c r="G60" s="86" t="s">
        <v>247</v>
      </c>
      <c r="H60" s="85" t="s">
        <v>247</v>
      </c>
      <c r="I60" s="67" t="s">
        <v>247</v>
      </c>
      <c r="J60" s="83" t="s">
        <v>247</v>
      </c>
      <c r="K60" s="67" t="s">
        <v>247</v>
      </c>
      <c r="L60" s="85">
        <v>1</v>
      </c>
      <c r="M60" s="67" t="s">
        <v>247</v>
      </c>
      <c r="N60" s="83" t="s">
        <v>247</v>
      </c>
      <c r="O60" s="15">
        <v>6</v>
      </c>
      <c r="P60" s="15">
        <v>1</v>
      </c>
      <c r="Q60" s="15">
        <v>3</v>
      </c>
      <c r="R60" s="56">
        <v>0</v>
      </c>
      <c r="S60" s="15">
        <v>4</v>
      </c>
      <c r="T60" s="46">
        <v>2</v>
      </c>
      <c r="U60" s="46">
        <v>4</v>
      </c>
      <c r="V60" s="46">
        <v>0</v>
      </c>
      <c r="W60" s="33">
        <f t="shared" si="13"/>
        <v>10</v>
      </c>
      <c r="X60" s="6">
        <v>3</v>
      </c>
      <c r="Y60" s="46">
        <v>3</v>
      </c>
      <c r="Z60" s="46">
        <v>4</v>
      </c>
      <c r="AA60" s="46">
        <v>0</v>
      </c>
      <c r="AB60" s="43">
        <f t="shared" si="14"/>
        <v>10</v>
      </c>
    </row>
    <row r="61" spans="1:28" x14ac:dyDescent="0.2">
      <c r="A61" s="33" t="s">
        <v>253</v>
      </c>
      <c r="B61" s="84">
        <v>41339</v>
      </c>
      <c r="C61" s="46">
        <v>48</v>
      </c>
      <c r="D61" s="33">
        <v>1</v>
      </c>
      <c r="E61" s="33" t="s">
        <v>207</v>
      </c>
      <c r="F61" s="33">
        <f>6*60+30</f>
        <v>390</v>
      </c>
      <c r="G61" s="6">
        <v>0</v>
      </c>
      <c r="H61" s="46">
        <v>0</v>
      </c>
      <c r="I61" s="46" t="s">
        <v>247</v>
      </c>
      <c r="J61" s="43">
        <v>0</v>
      </c>
      <c r="K61" s="15">
        <v>0</v>
      </c>
      <c r="L61" s="15">
        <v>2</v>
      </c>
      <c r="M61" s="15">
        <v>17</v>
      </c>
      <c r="N61" s="56">
        <v>1</v>
      </c>
      <c r="O61" s="15">
        <v>0</v>
      </c>
      <c r="P61" s="46">
        <v>1</v>
      </c>
      <c r="Q61" s="46">
        <v>18</v>
      </c>
      <c r="R61" s="56">
        <v>1</v>
      </c>
      <c r="S61" s="15">
        <v>0</v>
      </c>
      <c r="T61" s="46">
        <v>0</v>
      </c>
      <c r="U61" s="46">
        <v>20</v>
      </c>
      <c r="V61" s="46">
        <v>1</v>
      </c>
      <c r="W61" s="33">
        <f t="shared" si="13"/>
        <v>21</v>
      </c>
      <c r="X61" s="6">
        <v>0</v>
      </c>
      <c r="Y61" s="46">
        <v>0</v>
      </c>
      <c r="Z61" s="46">
        <v>20</v>
      </c>
      <c r="AA61" s="46">
        <v>1</v>
      </c>
      <c r="AB61" s="43">
        <f t="shared" si="14"/>
        <v>21</v>
      </c>
    </row>
    <row r="62" spans="1:28" x14ac:dyDescent="0.2">
      <c r="A62" s="33"/>
      <c r="B62" s="84">
        <v>41339</v>
      </c>
      <c r="C62" s="46">
        <v>48</v>
      </c>
      <c r="D62" s="33">
        <v>1</v>
      </c>
      <c r="E62" s="33" t="s">
        <v>208</v>
      </c>
      <c r="F62" s="33">
        <f>8*60+15</f>
        <v>495</v>
      </c>
      <c r="G62" s="86">
        <v>0</v>
      </c>
      <c r="H62" s="85">
        <v>0</v>
      </c>
      <c r="I62" s="67" t="s">
        <v>247</v>
      </c>
      <c r="J62" s="83">
        <v>0</v>
      </c>
      <c r="K62" s="67">
        <v>0</v>
      </c>
      <c r="L62" s="67">
        <v>0</v>
      </c>
      <c r="M62" s="67" t="s">
        <v>247</v>
      </c>
      <c r="N62" s="83">
        <v>0</v>
      </c>
      <c r="O62" s="67">
        <v>0</v>
      </c>
      <c r="P62" s="67">
        <v>0</v>
      </c>
      <c r="Q62" s="67" t="s">
        <v>247</v>
      </c>
      <c r="R62" s="83">
        <v>0</v>
      </c>
      <c r="S62" s="67">
        <v>0</v>
      </c>
      <c r="T62" s="67">
        <v>0</v>
      </c>
      <c r="U62" s="67" t="s">
        <v>247</v>
      </c>
      <c r="V62" s="67">
        <v>0</v>
      </c>
      <c r="W62" s="33" t="s">
        <v>247</v>
      </c>
      <c r="X62" s="6">
        <v>0</v>
      </c>
      <c r="Y62" s="46">
        <v>0</v>
      </c>
      <c r="Z62" s="46">
        <v>17</v>
      </c>
      <c r="AA62" s="46">
        <v>0</v>
      </c>
      <c r="AB62" s="43">
        <f t="shared" si="14"/>
        <v>17</v>
      </c>
    </row>
    <row r="63" spans="1:28" x14ac:dyDescent="0.2">
      <c r="A63" s="33"/>
      <c r="B63" s="84">
        <v>41339</v>
      </c>
      <c r="C63" s="46">
        <v>48</v>
      </c>
      <c r="D63" s="33">
        <v>1</v>
      </c>
      <c r="E63" s="33" t="s">
        <v>209</v>
      </c>
      <c r="F63" s="33">
        <f>7*60+30</f>
        <v>450</v>
      </c>
      <c r="G63" s="86">
        <v>0</v>
      </c>
      <c r="H63" s="85">
        <v>0</v>
      </c>
      <c r="I63" s="67" t="s">
        <v>247</v>
      </c>
      <c r="J63" s="83">
        <v>0</v>
      </c>
      <c r="K63" s="67">
        <v>0</v>
      </c>
      <c r="L63" s="85">
        <v>0</v>
      </c>
      <c r="M63" s="67" t="s">
        <v>247</v>
      </c>
      <c r="N63" s="83">
        <v>0</v>
      </c>
      <c r="O63" s="67">
        <v>0</v>
      </c>
      <c r="P63" s="67">
        <v>0</v>
      </c>
      <c r="Q63" s="67" t="s">
        <v>247</v>
      </c>
      <c r="R63" s="83">
        <v>0</v>
      </c>
      <c r="S63" s="67">
        <v>0</v>
      </c>
      <c r="T63" s="67">
        <v>0</v>
      </c>
      <c r="U63" s="67" t="s">
        <v>247</v>
      </c>
      <c r="V63" s="67">
        <v>0</v>
      </c>
      <c r="W63" s="33" t="s">
        <v>247</v>
      </c>
      <c r="X63" s="6">
        <v>0</v>
      </c>
      <c r="Y63" s="46">
        <v>0</v>
      </c>
      <c r="Z63" s="46">
        <v>20</v>
      </c>
      <c r="AA63" s="46">
        <v>0</v>
      </c>
      <c r="AB63" s="43">
        <f t="shared" si="14"/>
        <v>20</v>
      </c>
    </row>
    <row r="64" spans="1:28" s="33" customFormat="1" x14ac:dyDescent="0.2">
      <c r="B64" s="31">
        <v>41376</v>
      </c>
      <c r="C64" s="46">
        <v>48</v>
      </c>
      <c r="D64" s="33">
        <v>1</v>
      </c>
      <c r="E64" s="33" t="s">
        <v>223</v>
      </c>
      <c r="F64" s="33">
        <f>6*60+20</f>
        <v>380</v>
      </c>
      <c r="G64" s="6">
        <v>0</v>
      </c>
      <c r="H64" s="33">
        <v>2</v>
      </c>
      <c r="I64" s="46">
        <v>17</v>
      </c>
      <c r="J64" s="56">
        <v>0</v>
      </c>
      <c r="K64" s="15">
        <v>0</v>
      </c>
      <c r="L64" s="46">
        <v>2</v>
      </c>
      <c r="M64" s="46">
        <v>17</v>
      </c>
      <c r="N64" s="56">
        <v>0</v>
      </c>
      <c r="O64" s="15">
        <v>1</v>
      </c>
      <c r="P64" s="46">
        <v>1</v>
      </c>
      <c r="Q64" s="46">
        <v>17</v>
      </c>
      <c r="R64" s="56">
        <v>0</v>
      </c>
      <c r="S64" s="15">
        <v>0</v>
      </c>
      <c r="T64" s="46">
        <v>1</v>
      </c>
      <c r="U64" s="46">
        <v>18</v>
      </c>
      <c r="V64" s="46">
        <v>0</v>
      </c>
      <c r="W64" s="33">
        <f t="shared" si="13"/>
        <v>19</v>
      </c>
      <c r="X64" s="6">
        <v>0</v>
      </c>
      <c r="Y64" s="46">
        <v>2</v>
      </c>
      <c r="Z64" s="46">
        <v>17</v>
      </c>
      <c r="AA64" s="46">
        <v>0</v>
      </c>
      <c r="AB64" s="43">
        <f t="shared" si="14"/>
        <v>19</v>
      </c>
    </row>
    <row r="65" spans="1:28" s="33" customFormat="1" x14ac:dyDescent="0.2">
      <c r="B65" s="31">
        <v>41376</v>
      </c>
      <c r="C65" s="46">
        <v>48</v>
      </c>
      <c r="D65" s="33">
        <v>1</v>
      </c>
      <c r="E65" s="33" t="s">
        <v>224</v>
      </c>
      <c r="F65" s="33">
        <f>11*60</f>
        <v>660</v>
      </c>
      <c r="G65" s="65">
        <v>0</v>
      </c>
      <c r="H65" s="85">
        <v>0</v>
      </c>
      <c r="I65" s="67" t="s">
        <v>247</v>
      </c>
      <c r="J65" s="43">
        <v>0</v>
      </c>
      <c r="K65" s="15">
        <v>0</v>
      </c>
      <c r="L65" s="33">
        <v>1</v>
      </c>
      <c r="M65" s="46">
        <v>17</v>
      </c>
      <c r="N65" s="56">
        <v>0</v>
      </c>
      <c r="O65" s="15">
        <v>0</v>
      </c>
      <c r="P65" s="46">
        <v>2</v>
      </c>
      <c r="Q65" s="46">
        <v>17</v>
      </c>
      <c r="R65" s="56">
        <v>0</v>
      </c>
      <c r="S65" s="15">
        <v>0</v>
      </c>
      <c r="T65" s="46">
        <v>3</v>
      </c>
      <c r="U65" s="46">
        <v>16</v>
      </c>
      <c r="V65" s="46">
        <v>0</v>
      </c>
      <c r="W65" s="33">
        <f t="shared" si="13"/>
        <v>19</v>
      </c>
      <c r="X65" s="6">
        <v>0</v>
      </c>
      <c r="Y65" s="46">
        <v>3</v>
      </c>
      <c r="Z65" s="46">
        <v>16</v>
      </c>
      <c r="AA65" s="46">
        <v>0</v>
      </c>
      <c r="AB65" s="43">
        <f t="shared" si="14"/>
        <v>19</v>
      </c>
    </row>
    <row r="66" spans="1:28" s="33" customFormat="1" x14ac:dyDescent="0.2">
      <c r="B66" s="31">
        <v>41376</v>
      </c>
      <c r="C66" s="46">
        <v>48</v>
      </c>
      <c r="D66" s="33">
        <v>1</v>
      </c>
      <c r="E66" s="33" t="s">
        <v>225</v>
      </c>
      <c r="F66" s="33">
        <f>7*60+5</f>
        <v>425</v>
      </c>
      <c r="G66" s="96">
        <v>0</v>
      </c>
      <c r="H66" s="85">
        <v>0</v>
      </c>
      <c r="I66" s="67" t="s">
        <v>247</v>
      </c>
      <c r="J66" s="43">
        <v>0</v>
      </c>
      <c r="K66" s="15">
        <v>0</v>
      </c>
      <c r="L66" s="15">
        <v>2</v>
      </c>
      <c r="M66" s="46" t="s">
        <v>247</v>
      </c>
      <c r="N66" s="43">
        <v>0</v>
      </c>
      <c r="O66" s="46">
        <v>0</v>
      </c>
      <c r="P66" s="46">
        <v>2</v>
      </c>
      <c r="Q66" s="46" t="s">
        <v>247</v>
      </c>
      <c r="R66" s="43">
        <v>0</v>
      </c>
      <c r="S66" s="15">
        <v>0</v>
      </c>
      <c r="T66" s="46">
        <v>1</v>
      </c>
      <c r="U66" s="46">
        <v>21</v>
      </c>
      <c r="V66" s="46">
        <v>0</v>
      </c>
      <c r="W66" s="33">
        <f t="shared" si="13"/>
        <v>22</v>
      </c>
      <c r="X66" s="6">
        <v>0</v>
      </c>
      <c r="Y66" s="46">
        <v>2</v>
      </c>
      <c r="Z66" s="46">
        <v>20</v>
      </c>
      <c r="AA66" s="46">
        <v>0</v>
      </c>
      <c r="AB66" s="43">
        <f t="shared" si="14"/>
        <v>22</v>
      </c>
    </row>
    <row r="67" spans="1:28" s="33" customFormat="1" x14ac:dyDescent="0.2">
      <c r="B67" s="31">
        <v>41376</v>
      </c>
      <c r="C67" s="46">
        <v>48</v>
      </c>
      <c r="D67" s="33">
        <v>1</v>
      </c>
      <c r="E67" s="33" t="s">
        <v>226</v>
      </c>
      <c r="F67" s="33">
        <f>7*60+20</f>
        <v>440</v>
      </c>
      <c r="G67" s="6">
        <v>1</v>
      </c>
      <c r="H67" s="33">
        <v>1</v>
      </c>
      <c r="I67" s="46">
        <v>20</v>
      </c>
      <c r="J67" s="56">
        <v>0</v>
      </c>
      <c r="K67" s="15">
        <v>0</v>
      </c>
      <c r="L67" s="46">
        <v>2</v>
      </c>
      <c r="M67" s="46">
        <v>20</v>
      </c>
      <c r="N67" s="56">
        <v>0</v>
      </c>
      <c r="O67" s="15">
        <v>0</v>
      </c>
      <c r="P67" s="46">
        <v>2</v>
      </c>
      <c r="Q67" s="46">
        <v>20</v>
      </c>
      <c r="R67" s="56">
        <v>0</v>
      </c>
      <c r="S67" s="15">
        <v>0</v>
      </c>
      <c r="T67" s="46">
        <v>2</v>
      </c>
      <c r="U67" s="46">
        <v>20</v>
      </c>
      <c r="V67" s="46">
        <v>0</v>
      </c>
      <c r="W67" s="33">
        <f t="shared" si="13"/>
        <v>22</v>
      </c>
      <c r="X67" s="6">
        <v>0</v>
      </c>
      <c r="Y67" s="46">
        <v>3</v>
      </c>
      <c r="Z67" s="46">
        <v>19</v>
      </c>
      <c r="AA67" s="46">
        <v>0</v>
      </c>
      <c r="AB67" s="43">
        <f t="shared" si="14"/>
        <v>22</v>
      </c>
    </row>
    <row r="68" spans="1:28" x14ac:dyDescent="0.2">
      <c r="A68" s="33"/>
      <c r="B68" s="33"/>
      <c r="E68" s="16" t="s">
        <v>23</v>
      </c>
      <c r="F68" s="36">
        <f>AVERAGE(F59:F67)</f>
        <v>506.66666666666669</v>
      </c>
      <c r="G68" s="17"/>
      <c r="H68" s="17"/>
      <c r="I68" s="17"/>
      <c r="J68" s="36"/>
      <c r="K68" s="17"/>
      <c r="L68" s="17"/>
      <c r="M68" s="17"/>
      <c r="N68" s="36"/>
      <c r="O68" s="17"/>
      <c r="P68" s="17"/>
      <c r="Q68" s="17"/>
      <c r="R68" s="36"/>
      <c r="S68" s="17"/>
      <c r="T68" s="17"/>
      <c r="U68" s="17"/>
      <c r="V68" s="17"/>
      <c r="W68" s="17">
        <f>AVERAGE(W59:W67)</f>
        <v>17.428571428571427</v>
      </c>
      <c r="X68" s="17"/>
      <c r="Y68" s="17"/>
      <c r="Z68" s="17"/>
      <c r="AA68" s="17"/>
      <c r="AB68" s="36">
        <f>AVERAGE(AB59:AB67)</f>
        <v>17.777777777777779</v>
      </c>
    </row>
    <row r="69" spans="1:28" x14ac:dyDescent="0.2">
      <c r="A69" s="33"/>
      <c r="B69" s="33"/>
      <c r="E69" s="61" t="s">
        <v>14</v>
      </c>
      <c r="F69" s="21"/>
      <c r="G69" s="20"/>
      <c r="H69" s="20"/>
      <c r="I69" s="20"/>
      <c r="J69" s="21"/>
      <c r="K69" s="20"/>
      <c r="L69" s="20"/>
      <c r="M69" s="20"/>
      <c r="N69" s="21"/>
      <c r="O69" s="20"/>
      <c r="P69" s="20"/>
      <c r="Q69" s="20"/>
      <c r="R69" s="21"/>
      <c r="S69" s="61"/>
      <c r="T69" s="20"/>
      <c r="U69" s="20"/>
      <c r="V69" s="20"/>
      <c r="W69" s="22">
        <f>SUM(W59:W67)</f>
        <v>122</v>
      </c>
      <c r="X69" s="20"/>
      <c r="Y69" s="20"/>
      <c r="Z69" s="20"/>
      <c r="AA69" s="22"/>
      <c r="AB69" s="21">
        <f>SUM(AB59:AB67)</f>
        <v>160</v>
      </c>
    </row>
    <row r="70" spans="1:28" x14ac:dyDescent="0.2">
      <c r="A70" s="23"/>
      <c r="B70" s="23"/>
      <c r="C70" s="15"/>
      <c r="D70" s="15"/>
      <c r="E70" s="11" t="s">
        <v>199</v>
      </c>
      <c r="F70" s="23"/>
      <c r="G70" s="25"/>
      <c r="H70" s="23"/>
      <c r="I70" s="23"/>
      <c r="J70" s="26"/>
      <c r="K70" s="23"/>
      <c r="L70" s="23"/>
      <c r="M70" s="23"/>
      <c r="N70" s="26"/>
      <c r="O70" s="23"/>
      <c r="P70" s="23"/>
      <c r="Q70" s="23"/>
      <c r="R70" s="26"/>
      <c r="S70" s="23"/>
      <c r="T70" s="23"/>
      <c r="U70" s="23"/>
      <c r="V70" s="23"/>
      <c r="W70" s="23"/>
      <c r="X70" s="25"/>
      <c r="Y70" s="23"/>
      <c r="Z70" s="23"/>
      <c r="AA70" s="23"/>
      <c r="AB70" s="26"/>
    </row>
    <row r="71" spans="1:28" x14ac:dyDescent="0.2">
      <c r="A71" s="33"/>
      <c r="B71" s="13">
        <v>41333</v>
      </c>
      <c r="C71" s="46">
        <f t="shared" ref="C71:C73" si="15">14*24</f>
        <v>336</v>
      </c>
      <c r="D71" s="33">
        <v>1</v>
      </c>
      <c r="E71" s="33" t="s">
        <v>204</v>
      </c>
      <c r="F71" s="33">
        <f>10*60+30</f>
        <v>630</v>
      </c>
      <c r="G71" s="86" t="s">
        <v>247</v>
      </c>
      <c r="H71" s="85" t="s">
        <v>247</v>
      </c>
      <c r="I71" s="85" t="s">
        <v>247</v>
      </c>
      <c r="J71" s="83" t="s">
        <v>247</v>
      </c>
      <c r="K71" s="86" t="s">
        <v>247</v>
      </c>
      <c r="L71" s="85" t="s">
        <v>247</v>
      </c>
      <c r="M71" s="85" t="s">
        <v>247</v>
      </c>
      <c r="N71" s="83" t="s">
        <v>247</v>
      </c>
      <c r="O71" s="86" t="s">
        <v>247</v>
      </c>
      <c r="P71" s="85" t="s">
        <v>247</v>
      </c>
      <c r="Q71" s="85" t="s">
        <v>247</v>
      </c>
      <c r="R71" s="83" t="s">
        <v>247</v>
      </c>
      <c r="S71" s="15">
        <v>0</v>
      </c>
      <c r="T71" s="33">
        <v>0</v>
      </c>
      <c r="U71" s="46">
        <v>17</v>
      </c>
      <c r="V71" s="46">
        <v>0</v>
      </c>
      <c r="W71" s="33">
        <f t="shared" ref="W71:W73" si="16">SUM(S71:V71)</f>
        <v>17</v>
      </c>
      <c r="X71" s="6">
        <v>0</v>
      </c>
      <c r="Y71" s="33">
        <v>0</v>
      </c>
      <c r="Z71" s="46">
        <v>17</v>
      </c>
      <c r="AA71" s="46">
        <v>0</v>
      </c>
      <c r="AB71" s="43">
        <f t="shared" ref="AB71:AB73" si="17">SUM(X71:AA71)</f>
        <v>17</v>
      </c>
    </row>
    <row r="72" spans="1:28" x14ac:dyDescent="0.2">
      <c r="A72" s="33"/>
      <c r="B72" s="13">
        <v>41333</v>
      </c>
      <c r="C72" s="46">
        <f t="shared" si="15"/>
        <v>336</v>
      </c>
      <c r="D72" s="33">
        <v>1</v>
      </c>
      <c r="E72" s="33" t="s">
        <v>205</v>
      </c>
      <c r="F72" s="33">
        <f>9*60+10</f>
        <v>550</v>
      </c>
      <c r="G72" s="86" t="s">
        <v>247</v>
      </c>
      <c r="H72" s="85" t="s">
        <v>247</v>
      </c>
      <c r="I72" s="85" t="s">
        <v>247</v>
      </c>
      <c r="J72" s="83" t="s">
        <v>247</v>
      </c>
      <c r="K72" s="86" t="s">
        <v>247</v>
      </c>
      <c r="L72" s="85" t="s">
        <v>247</v>
      </c>
      <c r="M72" s="85" t="s">
        <v>247</v>
      </c>
      <c r="N72" s="83" t="s">
        <v>247</v>
      </c>
      <c r="O72" s="86" t="s">
        <v>247</v>
      </c>
      <c r="P72" s="85" t="s">
        <v>247</v>
      </c>
      <c r="Q72" s="85" t="s">
        <v>247</v>
      </c>
      <c r="R72" s="83" t="s">
        <v>247</v>
      </c>
      <c r="S72" s="15">
        <v>0</v>
      </c>
      <c r="T72" s="33">
        <v>0</v>
      </c>
      <c r="U72" s="67">
        <v>18</v>
      </c>
      <c r="V72" s="67">
        <v>0</v>
      </c>
      <c r="W72" s="85">
        <f t="shared" si="16"/>
        <v>18</v>
      </c>
      <c r="X72" s="86">
        <v>0</v>
      </c>
      <c r="Y72" s="85">
        <v>0</v>
      </c>
      <c r="Z72" s="67">
        <v>18</v>
      </c>
      <c r="AA72" s="46">
        <v>0</v>
      </c>
      <c r="AB72" s="43">
        <f t="shared" si="17"/>
        <v>18</v>
      </c>
    </row>
    <row r="73" spans="1:28" x14ac:dyDescent="0.2">
      <c r="A73" s="33"/>
      <c r="B73" s="13">
        <v>41333</v>
      </c>
      <c r="C73" s="46">
        <f t="shared" si="15"/>
        <v>336</v>
      </c>
      <c r="D73" s="33">
        <v>1</v>
      </c>
      <c r="E73" s="33" t="s">
        <v>206</v>
      </c>
      <c r="F73" s="33">
        <f>13*60</f>
        <v>780</v>
      </c>
      <c r="G73" s="86" t="s">
        <v>247</v>
      </c>
      <c r="H73" s="85" t="s">
        <v>247</v>
      </c>
      <c r="I73" s="85" t="s">
        <v>247</v>
      </c>
      <c r="J73" s="83" t="s">
        <v>247</v>
      </c>
      <c r="K73" s="86" t="s">
        <v>247</v>
      </c>
      <c r="L73" s="85" t="s">
        <v>247</v>
      </c>
      <c r="M73" s="85" t="s">
        <v>247</v>
      </c>
      <c r="N73" s="83" t="s">
        <v>247</v>
      </c>
      <c r="O73" s="86" t="s">
        <v>247</v>
      </c>
      <c r="P73" s="85" t="s">
        <v>247</v>
      </c>
      <c r="Q73" s="85" t="s">
        <v>247</v>
      </c>
      <c r="R73" s="83" t="s">
        <v>247</v>
      </c>
      <c r="S73" s="15">
        <v>0</v>
      </c>
      <c r="T73" s="33">
        <v>0</v>
      </c>
      <c r="U73" s="46">
        <v>18</v>
      </c>
      <c r="V73" s="46">
        <v>0</v>
      </c>
      <c r="W73" s="33">
        <f t="shared" si="16"/>
        <v>18</v>
      </c>
      <c r="X73" s="6">
        <v>0</v>
      </c>
      <c r="Y73" s="33">
        <v>0</v>
      </c>
      <c r="Z73" s="46">
        <v>18</v>
      </c>
      <c r="AA73" s="46">
        <v>0</v>
      </c>
      <c r="AB73" s="43">
        <f t="shared" si="17"/>
        <v>18</v>
      </c>
    </row>
    <row r="74" spans="1:28" x14ac:dyDescent="0.2">
      <c r="A74" s="33"/>
      <c r="B74" s="33"/>
      <c r="E74" s="16" t="s">
        <v>23</v>
      </c>
      <c r="F74" s="36">
        <f>AVERAGE(F71:F73)</f>
        <v>653.33333333333337</v>
      </c>
      <c r="G74" s="17"/>
      <c r="H74" s="17"/>
      <c r="I74" s="17"/>
      <c r="J74" s="36"/>
      <c r="K74" s="17"/>
      <c r="L74" s="17"/>
      <c r="M74" s="17"/>
      <c r="N74" s="36"/>
      <c r="O74" s="17"/>
      <c r="P74" s="17"/>
      <c r="Q74" s="17"/>
      <c r="R74" s="36"/>
      <c r="S74" s="17"/>
      <c r="T74" s="17"/>
      <c r="U74" s="17"/>
      <c r="V74" s="17"/>
      <c r="W74" s="17">
        <f>AVERAGE(W71:W73)</f>
        <v>17.666666666666668</v>
      </c>
      <c r="X74" s="17"/>
      <c r="Y74" s="17"/>
      <c r="Z74" s="17"/>
      <c r="AA74" s="17"/>
      <c r="AB74" s="36">
        <f>AVERAGE(AB71:AB73)</f>
        <v>17.666666666666668</v>
      </c>
    </row>
    <row r="75" spans="1:28" x14ac:dyDescent="0.2">
      <c r="A75" s="33"/>
      <c r="B75" s="33"/>
      <c r="E75" s="61" t="s">
        <v>14</v>
      </c>
      <c r="F75" s="21"/>
      <c r="G75" s="20"/>
      <c r="H75" s="20"/>
      <c r="I75" s="20"/>
      <c r="J75" s="21"/>
      <c r="K75" s="20"/>
      <c r="L75" s="20"/>
      <c r="M75" s="20"/>
      <c r="N75" s="21"/>
      <c r="O75" s="20"/>
      <c r="P75" s="20"/>
      <c r="Q75" s="20"/>
      <c r="R75" s="21"/>
      <c r="S75" s="61"/>
      <c r="T75" s="20"/>
      <c r="U75" s="20"/>
      <c r="V75" s="20"/>
      <c r="W75" s="22">
        <f>SUM(W71:W73)</f>
        <v>53</v>
      </c>
      <c r="X75" s="20"/>
      <c r="Y75" s="20"/>
      <c r="Z75" s="20"/>
      <c r="AA75" s="22"/>
      <c r="AB75" s="21">
        <f>SUM(AB71:AB73)</f>
        <v>53</v>
      </c>
    </row>
    <row r="76" spans="1:28" x14ac:dyDescent="0.2">
      <c r="A76" s="23"/>
      <c r="B76" s="23"/>
      <c r="C76" s="15"/>
      <c r="D76" s="15"/>
      <c r="E76" s="11" t="s">
        <v>176</v>
      </c>
      <c r="F76" s="23"/>
      <c r="G76" s="25"/>
      <c r="H76" s="23"/>
      <c r="I76" s="23"/>
      <c r="J76" s="26"/>
      <c r="K76" s="23"/>
      <c r="L76" s="23"/>
      <c r="M76" s="23"/>
      <c r="N76" s="26"/>
      <c r="O76" s="23"/>
      <c r="P76" s="23"/>
      <c r="Q76" s="23"/>
      <c r="R76" s="26"/>
      <c r="S76" s="23"/>
      <c r="T76" s="23"/>
      <c r="U76" s="23"/>
      <c r="V76" s="23"/>
      <c r="W76" s="23"/>
      <c r="X76" s="25"/>
      <c r="Y76" s="23"/>
      <c r="Z76" s="23"/>
      <c r="AA76" s="23"/>
      <c r="AB76" s="26"/>
    </row>
    <row r="77" spans="1:28" x14ac:dyDescent="0.2">
      <c r="A77" s="27"/>
      <c r="B77" s="31">
        <v>41304</v>
      </c>
      <c r="C77" s="46">
        <v>2</v>
      </c>
      <c r="D77" s="33">
        <v>10</v>
      </c>
      <c r="E77" s="33" t="s">
        <v>177</v>
      </c>
      <c r="F77" s="33">
        <f>49*60+30</f>
        <v>2970</v>
      </c>
      <c r="G77" s="86" t="s">
        <v>247</v>
      </c>
      <c r="H77" s="85" t="s">
        <v>247</v>
      </c>
      <c r="I77" s="67" t="s">
        <v>247</v>
      </c>
      <c r="J77" s="83" t="s">
        <v>247</v>
      </c>
      <c r="K77" s="82">
        <v>7</v>
      </c>
      <c r="L77" s="82">
        <v>1</v>
      </c>
      <c r="M77" s="82">
        <v>2</v>
      </c>
      <c r="N77" s="79">
        <v>0</v>
      </c>
      <c r="O77" s="82">
        <v>10</v>
      </c>
      <c r="P77" s="67">
        <v>0</v>
      </c>
      <c r="Q77" s="67">
        <v>0</v>
      </c>
      <c r="R77" s="79">
        <v>0</v>
      </c>
      <c r="S77" s="82">
        <v>9</v>
      </c>
      <c r="T77" s="67">
        <v>1</v>
      </c>
      <c r="U77" s="67">
        <v>0</v>
      </c>
      <c r="V77" s="67">
        <v>0</v>
      </c>
      <c r="W77" s="85">
        <f t="shared" ref="W77:W82" si="18">SUM(S77:V77)</f>
        <v>10</v>
      </c>
      <c r="X77" s="86">
        <v>7</v>
      </c>
      <c r="Y77" s="67">
        <v>0</v>
      </c>
      <c r="Z77" s="67">
        <v>0</v>
      </c>
      <c r="AA77" s="67">
        <v>0</v>
      </c>
      <c r="AB77" s="83">
        <f t="shared" ref="AB77:AB82" si="19">SUM(X77:AA77)</f>
        <v>7</v>
      </c>
    </row>
    <row r="78" spans="1:28" x14ac:dyDescent="0.2">
      <c r="A78" s="82" t="s">
        <v>260</v>
      </c>
      <c r="B78" s="31">
        <v>41304</v>
      </c>
      <c r="C78" s="46">
        <v>2</v>
      </c>
      <c r="D78" s="33">
        <v>10</v>
      </c>
      <c r="E78" s="33" t="s">
        <v>178</v>
      </c>
      <c r="F78" s="33">
        <f>47*60+30</f>
        <v>2850</v>
      </c>
      <c r="G78" s="6">
        <v>1</v>
      </c>
      <c r="H78" s="33">
        <v>1</v>
      </c>
      <c r="I78" s="46">
        <v>7</v>
      </c>
      <c r="J78" s="56">
        <v>0</v>
      </c>
      <c r="K78" s="15">
        <v>7</v>
      </c>
      <c r="L78" s="46">
        <v>2</v>
      </c>
      <c r="M78" s="46">
        <v>1</v>
      </c>
      <c r="N78" s="56">
        <v>0</v>
      </c>
      <c r="O78" s="15">
        <v>9</v>
      </c>
      <c r="P78" s="46">
        <v>0</v>
      </c>
      <c r="Q78" s="46">
        <v>1</v>
      </c>
      <c r="R78" s="56">
        <v>0</v>
      </c>
      <c r="S78" s="15">
        <v>8</v>
      </c>
      <c r="T78" s="46">
        <v>0</v>
      </c>
      <c r="U78" s="46">
        <v>1</v>
      </c>
      <c r="V78" s="46">
        <v>0</v>
      </c>
      <c r="W78" s="33">
        <f t="shared" si="18"/>
        <v>9</v>
      </c>
      <c r="X78" s="6">
        <v>5</v>
      </c>
      <c r="Y78" s="46">
        <v>2</v>
      </c>
      <c r="Z78" s="46">
        <v>2</v>
      </c>
      <c r="AA78" s="46">
        <v>0</v>
      </c>
      <c r="AB78" s="43">
        <f t="shared" si="19"/>
        <v>9</v>
      </c>
    </row>
    <row r="79" spans="1:28" x14ac:dyDescent="0.2">
      <c r="A79" s="82"/>
      <c r="B79" s="31">
        <v>41304</v>
      </c>
      <c r="C79" s="46">
        <v>2</v>
      </c>
      <c r="D79" s="33">
        <v>10</v>
      </c>
      <c r="E79" s="33" t="s">
        <v>179</v>
      </c>
      <c r="F79" s="33">
        <f>45*60+15</f>
        <v>2715</v>
      </c>
      <c r="G79" s="86">
        <v>2</v>
      </c>
      <c r="H79" s="33">
        <v>1</v>
      </c>
      <c r="I79" s="46">
        <v>7</v>
      </c>
      <c r="J79" s="56">
        <v>0</v>
      </c>
      <c r="K79" s="27">
        <v>3</v>
      </c>
      <c r="L79" s="45">
        <v>3</v>
      </c>
      <c r="M79" s="45">
        <v>2</v>
      </c>
      <c r="N79" s="53">
        <v>0</v>
      </c>
      <c r="O79" s="27">
        <v>5</v>
      </c>
      <c r="P79" s="45">
        <v>2</v>
      </c>
      <c r="Q79" s="45">
        <v>0</v>
      </c>
      <c r="R79" s="53">
        <v>0</v>
      </c>
      <c r="S79" s="27">
        <v>7</v>
      </c>
      <c r="T79" s="45">
        <v>0</v>
      </c>
      <c r="U79" s="45">
        <v>1</v>
      </c>
      <c r="V79" s="45">
        <v>0</v>
      </c>
      <c r="W79" s="33">
        <f t="shared" si="18"/>
        <v>8</v>
      </c>
      <c r="X79" s="32">
        <v>6</v>
      </c>
      <c r="Y79" s="45">
        <v>0</v>
      </c>
      <c r="Z79" s="45">
        <v>2</v>
      </c>
      <c r="AA79" s="45">
        <v>0</v>
      </c>
      <c r="AB79" s="43">
        <f t="shared" si="19"/>
        <v>8</v>
      </c>
    </row>
    <row r="80" spans="1:28" x14ac:dyDescent="0.2">
      <c r="A80" s="82" t="s">
        <v>261</v>
      </c>
      <c r="B80" s="31">
        <v>41304</v>
      </c>
      <c r="C80" s="46">
        <v>2</v>
      </c>
      <c r="D80" s="33">
        <v>10</v>
      </c>
      <c r="E80" s="33" t="s">
        <v>180</v>
      </c>
      <c r="F80" s="33">
        <f>48*60+30</f>
        <v>2910</v>
      </c>
      <c r="G80" s="32">
        <v>3</v>
      </c>
      <c r="H80" s="33">
        <v>1</v>
      </c>
      <c r="I80" s="46">
        <v>7</v>
      </c>
      <c r="J80" s="56">
        <v>0</v>
      </c>
      <c r="K80" s="27">
        <v>10</v>
      </c>
      <c r="L80" s="45">
        <v>0</v>
      </c>
      <c r="M80" s="45">
        <v>1</v>
      </c>
      <c r="N80" s="53">
        <v>0</v>
      </c>
      <c r="O80" s="27">
        <v>10</v>
      </c>
      <c r="P80" s="45">
        <v>0</v>
      </c>
      <c r="Q80" s="45">
        <v>2</v>
      </c>
      <c r="R80" s="53">
        <v>0</v>
      </c>
      <c r="S80" s="82">
        <v>9</v>
      </c>
      <c r="T80" s="45">
        <v>0</v>
      </c>
      <c r="U80" s="45">
        <v>2</v>
      </c>
      <c r="V80" s="45">
        <v>0</v>
      </c>
      <c r="W80" s="33">
        <f t="shared" si="18"/>
        <v>11</v>
      </c>
      <c r="X80" s="32">
        <v>9</v>
      </c>
      <c r="Y80" s="45">
        <v>0</v>
      </c>
      <c r="Z80" s="45">
        <v>3</v>
      </c>
      <c r="AA80" s="45">
        <v>0</v>
      </c>
      <c r="AB80" s="43">
        <f t="shared" si="19"/>
        <v>12</v>
      </c>
    </row>
    <row r="81" spans="1:32" x14ac:dyDescent="0.2">
      <c r="A81" s="27"/>
      <c r="B81" s="87">
        <v>41317</v>
      </c>
      <c r="C81" s="46">
        <v>2</v>
      </c>
      <c r="D81" s="33">
        <v>10</v>
      </c>
      <c r="E81" s="85" t="s">
        <v>181</v>
      </c>
      <c r="F81" s="85">
        <f>31*60</f>
        <v>1860</v>
      </c>
      <c r="G81" s="86">
        <v>4</v>
      </c>
      <c r="H81" s="85">
        <v>3</v>
      </c>
      <c r="I81" s="85" t="s">
        <v>247</v>
      </c>
      <c r="J81" s="83">
        <v>0</v>
      </c>
      <c r="K81" s="82">
        <v>11</v>
      </c>
      <c r="L81" s="67">
        <v>3</v>
      </c>
      <c r="M81" s="67">
        <v>1</v>
      </c>
      <c r="N81" s="79">
        <v>0</v>
      </c>
      <c r="O81" s="82">
        <v>14</v>
      </c>
      <c r="P81" s="67">
        <v>1</v>
      </c>
      <c r="Q81" s="45">
        <v>1</v>
      </c>
      <c r="R81" s="53">
        <v>0</v>
      </c>
      <c r="S81" s="15">
        <v>12</v>
      </c>
      <c r="T81" s="45">
        <v>3</v>
      </c>
      <c r="U81" s="45">
        <v>1</v>
      </c>
      <c r="V81" s="45">
        <v>0</v>
      </c>
      <c r="W81" s="33">
        <f t="shared" si="18"/>
        <v>16</v>
      </c>
      <c r="X81" s="6">
        <v>6</v>
      </c>
      <c r="Y81" s="45">
        <v>4</v>
      </c>
      <c r="Z81" s="45">
        <v>6</v>
      </c>
      <c r="AA81" s="45">
        <v>0</v>
      </c>
      <c r="AB81" s="43">
        <f t="shared" si="19"/>
        <v>16</v>
      </c>
    </row>
    <row r="82" spans="1:32" x14ac:dyDescent="0.2">
      <c r="A82" s="27" t="s">
        <v>254</v>
      </c>
      <c r="B82" s="87">
        <v>41353</v>
      </c>
      <c r="C82" s="46">
        <v>2</v>
      </c>
      <c r="D82" s="33">
        <v>10</v>
      </c>
      <c r="E82" s="85" t="s">
        <v>217</v>
      </c>
      <c r="F82" s="85" t="s">
        <v>247</v>
      </c>
      <c r="G82" s="86">
        <v>0</v>
      </c>
      <c r="H82" s="85">
        <v>2</v>
      </c>
      <c r="I82" s="67" t="s">
        <v>247</v>
      </c>
      <c r="J82" s="83">
        <v>0</v>
      </c>
      <c r="K82" s="82">
        <v>11</v>
      </c>
      <c r="L82" s="67">
        <v>5</v>
      </c>
      <c r="M82" s="67">
        <v>5</v>
      </c>
      <c r="N82" s="79">
        <v>0</v>
      </c>
      <c r="O82" s="82">
        <v>11</v>
      </c>
      <c r="P82" s="67">
        <v>5</v>
      </c>
      <c r="Q82" s="45">
        <v>5</v>
      </c>
      <c r="R82" s="53">
        <v>0</v>
      </c>
      <c r="S82" s="15">
        <v>15</v>
      </c>
      <c r="T82" s="45">
        <v>1</v>
      </c>
      <c r="U82" s="45">
        <v>5</v>
      </c>
      <c r="V82" s="45">
        <v>0</v>
      </c>
      <c r="W82" s="43">
        <f t="shared" si="18"/>
        <v>21</v>
      </c>
      <c r="X82" s="6">
        <v>14</v>
      </c>
      <c r="Y82" s="45">
        <v>2</v>
      </c>
      <c r="Z82" s="45">
        <v>5</v>
      </c>
      <c r="AA82" s="45">
        <v>0</v>
      </c>
      <c r="AB82" s="43">
        <f t="shared" si="19"/>
        <v>21</v>
      </c>
    </row>
    <row r="83" spans="1:32" x14ac:dyDescent="0.2">
      <c r="A83" s="27"/>
      <c r="B83" s="27"/>
      <c r="C83" s="27"/>
      <c r="D83" s="27"/>
      <c r="E83" s="16" t="s">
        <v>23</v>
      </c>
      <c r="F83" s="17">
        <f>AVERAGE(F78:F82)</f>
        <v>2583.75</v>
      </c>
      <c r="G83" s="16"/>
      <c r="H83" s="18"/>
      <c r="I83" s="18"/>
      <c r="J83" s="36"/>
      <c r="K83" s="57"/>
      <c r="L83" s="18"/>
      <c r="M83" s="18"/>
      <c r="N83" s="36"/>
      <c r="O83" s="57"/>
      <c r="P83" s="18"/>
      <c r="Q83" s="18"/>
      <c r="R83" s="36"/>
      <c r="S83" s="57"/>
      <c r="T83" s="18"/>
      <c r="U83" s="18"/>
      <c r="V83" s="18"/>
      <c r="W83" s="18">
        <f>AVERAGE(W77:W82)</f>
        <v>12.5</v>
      </c>
      <c r="X83" s="16"/>
      <c r="Y83" s="18"/>
      <c r="Z83" s="18"/>
      <c r="AA83" s="18"/>
      <c r="AB83" s="36">
        <f>AVERAGE(AB77:AB82)</f>
        <v>12.166666666666666</v>
      </c>
    </row>
    <row r="84" spans="1:32" x14ac:dyDescent="0.2">
      <c r="A84" s="27"/>
      <c r="B84" s="27"/>
      <c r="C84" s="27"/>
      <c r="D84" s="27"/>
      <c r="E84" s="64" t="s">
        <v>14</v>
      </c>
      <c r="F84" s="62"/>
      <c r="G84" s="19"/>
      <c r="H84" s="20"/>
      <c r="I84" s="20"/>
      <c r="J84" s="21"/>
      <c r="K84" s="75"/>
      <c r="L84" s="20"/>
      <c r="M84" s="20"/>
      <c r="N84" s="21"/>
      <c r="O84" s="75"/>
      <c r="P84" s="20"/>
      <c r="Q84" s="20"/>
      <c r="R84" s="21"/>
      <c r="S84" s="75"/>
      <c r="T84" s="20"/>
      <c r="U84" s="20"/>
      <c r="V84" s="20"/>
      <c r="W84" s="22">
        <f>SUM(W77:W82)</f>
        <v>75</v>
      </c>
      <c r="X84" s="19"/>
      <c r="Y84" s="20"/>
      <c r="Z84" s="20"/>
      <c r="AA84" s="20"/>
      <c r="AB84" s="21">
        <f>SUM(AB77:AB82)</f>
        <v>73</v>
      </c>
    </row>
    <row r="85" spans="1:32" x14ac:dyDescent="0.2">
      <c r="A85" s="23"/>
      <c r="B85" s="23"/>
      <c r="C85" s="15"/>
      <c r="D85" s="15"/>
      <c r="E85" s="11" t="s">
        <v>155</v>
      </c>
      <c r="G85" s="25"/>
      <c r="H85" s="23"/>
      <c r="I85" s="23"/>
      <c r="J85" s="26"/>
      <c r="K85" s="23"/>
      <c r="L85" s="23"/>
      <c r="M85" s="23"/>
      <c r="N85" s="26"/>
      <c r="O85" s="23"/>
      <c r="P85" s="23"/>
      <c r="Q85" s="23"/>
      <c r="R85" s="26"/>
      <c r="S85" s="23"/>
      <c r="T85" s="23"/>
      <c r="U85" s="23"/>
      <c r="V85" s="23"/>
      <c r="W85" s="26"/>
      <c r="X85" s="25"/>
      <c r="Y85" s="23"/>
      <c r="Z85" s="23"/>
      <c r="AA85" s="23"/>
      <c r="AB85" s="26"/>
    </row>
    <row r="86" spans="1:32" x14ac:dyDescent="0.2">
      <c r="A86" s="85" t="s">
        <v>248</v>
      </c>
      <c r="B86" s="84">
        <v>41289</v>
      </c>
      <c r="C86" s="46">
        <v>24</v>
      </c>
      <c r="D86" s="33">
        <v>10</v>
      </c>
      <c r="E86" s="85" t="s">
        <v>156</v>
      </c>
      <c r="F86" s="83">
        <f>(15+37)*60</f>
        <v>3120</v>
      </c>
      <c r="G86" s="82">
        <v>0</v>
      </c>
      <c r="H86" s="85">
        <v>0</v>
      </c>
      <c r="I86" s="85">
        <v>10</v>
      </c>
      <c r="J86" s="79">
        <v>0</v>
      </c>
      <c r="K86" s="82">
        <v>0</v>
      </c>
      <c r="L86" s="67">
        <v>2</v>
      </c>
      <c r="M86" s="67">
        <v>8</v>
      </c>
      <c r="N86" s="79">
        <v>0</v>
      </c>
      <c r="O86" s="82">
        <v>0</v>
      </c>
      <c r="P86" s="67">
        <v>4</v>
      </c>
      <c r="Q86" s="67">
        <v>6</v>
      </c>
      <c r="R86" s="79">
        <v>0</v>
      </c>
      <c r="S86" s="82">
        <v>0</v>
      </c>
      <c r="T86" s="67">
        <v>3</v>
      </c>
      <c r="U86" s="67">
        <v>6</v>
      </c>
      <c r="V86" s="67">
        <v>1</v>
      </c>
      <c r="W86" s="85">
        <f t="shared" ref="W86:W91" si="20">SUM(S86:V86)</f>
        <v>10</v>
      </c>
      <c r="X86" s="86">
        <v>3</v>
      </c>
      <c r="Y86" s="67">
        <v>1</v>
      </c>
      <c r="Z86" s="67">
        <v>5</v>
      </c>
      <c r="AA86" s="67">
        <v>0</v>
      </c>
      <c r="AB86" s="83">
        <f t="shared" ref="AB86:AB91" si="21">SUM(X86:AA86)</f>
        <v>9</v>
      </c>
      <c r="AC86" s="85"/>
      <c r="AD86" s="85"/>
      <c r="AE86" s="85"/>
      <c r="AF86" s="85"/>
    </row>
    <row r="87" spans="1:32" x14ac:dyDescent="0.2">
      <c r="A87" s="85"/>
      <c r="B87" s="84">
        <v>41289</v>
      </c>
      <c r="C87" s="46">
        <v>24</v>
      </c>
      <c r="D87" s="33">
        <v>10</v>
      </c>
      <c r="E87" s="85" t="s">
        <v>157</v>
      </c>
      <c r="F87" s="85">
        <f>36*60</f>
        <v>2160</v>
      </c>
      <c r="G87" s="86">
        <v>0</v>
      </c>
      <c r="H87" s="85">
        <v>0</v>
      </c>
      <c r="I87" s="85">
        <v>8</v>
      </c>
      <c r="J87" s="79">
        <v>0</v>
      </c>
      <c r="K87" s="82">
        <v>0</v>
      </c>
      <c r="L87" s="67">
        <v>3</v>
      </c>
      <c r="M87" s="67">
        <v>5</v>
      </c>
      <c r="N87" s="79">
        <v>0</v>
      </c>
      <c r="O87" s="82">
        <v>2</v>
      </c>
      <c r="P87" s="67">
        <v>2</v>
      </c>
      <c r="Q87" s="67">
        <v>2</v>
      </c>
      <c r="R87" s="79">
        <v>2</v>
      </c>
      <c r="S87" s="82">
        <v>2</v>
      </c>
      <c r="T87" s="67">
        <v>2</v>
      </c>
      <c r="U87" s="67">
        <v>2</v>
      </c>
      <c r="V87" s="67">
        <v>2</v>
      </c>
      <c r="W87" s="85">
        <f t="shared" si="20"/>
        <v>8</v>
      </c>
      <c r="X87" s="86">
        <v>4</v>
      </c>
      <c r="Y87" s="67">
        <v>1</v>
      </c>
      <c r="Z87" s="67">
        <v>3</v>
      </c>
      <c r="AA87" s="67">
        <v>0</v>
      </c>
      <c r="AB87" s="83">
        <f t="shared" si="21"/>
        <v>8</v>
      </c>
      <c r="AC87" s="85"/>
      <c r="AD87" s="85"/>
      <c r="AE87" s="85"/>
      <c r="AF87" s="85"/>
    </row>
    <row r="88" spans="1:32" x14ac:dyDescent="0.2">
      <c r="A88" s="85"/>
      <c r="B88" s="84">
        <v>41289</v>
      </c>
      <c r="C88" s="46">
        <v>24</v>
      </c>
      <c r="D88" s="33">
        <v>10</v>
      </c>
      <c r="E88" s="85" t="s">
        <v>158</v>
      </c>
      <c r="F88" s="85">
        <f>30*60</f>
        <v>1800</v>
      </c>
      <c r="G88" s="86">
        <v>0</v>
      </c>
      <c r="H88" s="85">
        <v>0</v>
      </c>
      <c r="I88" s="85">
        <v>9</v>
      </c>
      <c r="J88" s="79">
        <v>0</v>
      </c>
      <c r="K88" s="82">
        <v>0</v>
      </c>
      <c r="L88" s="67">
        <v>4</v>
      </c>
      <c r="M88" s="67">
        <v>5</v>
      </c>
      <c r="N88" s="79">
        <v>0</v>
      </c>
      <c r="O88" s="82">
        <v>0</v>
      </c>
      <c r="P88" s="67">
        <v>3</v>
      </c>
      <c r="Q88" s="67">
        <v>5</v>
      </c>
      <c r="R88" s="79">
        <v>1</v>
      </c>
      <c r="S88" s="82">
        <v>0</v>
      </c>
      <c r="T88" s="67">
        <v>3</v>
      </c>
      <c r="U88" s="67">
        <v>6</v>
      </c>
      <c r="V88" s="67">
        <v>0</v>
      </c>
      <c r="W88" s="85">
        <f t="shared" si="20"/>
        <v>9</v>
      </c>
      <c r="X88" s="86">
        <v>3</v>
      </c>
      <c r="Y88" s="67">
        <v>2</v>
      </c>
      <c r="Z88" s="67">
        <v>4</v>
      </c>
      <c r="AA88" s="67">
        <v>0</v>
      </c>
      <c r="AB88" s="83">
        <f t="shared" si="21"/>
        <v>9</v>
      </c>
      <c r="AC88" s="85"/>
      <c r="AD88" s="85"/>
      <c r="AE88" s="85"/>
      <c r="AF88" s="85"/>
    </row>
    <row r="89" spans="1:32" x14ac:dyDescent="0.2">
      <c r="A89" s="85"/>
      <c r="B89" s="84">
        <v>41296</v>
      </c>
      <c r="C89" s="46">
        <v>24</v>
      </c>
      <c r="D89" s="33">
        <v>10</v>
      </c>
      <c r="E89" s="85" t="s">
        <v>182</v>
      </c>
      <c r="F89" s="85">
        <f>31*60</f>
        <v>1860</v>
      </c>
      <c r="G89" s="86" t="s">
        <v>247</v>
      </c>
      <c r="H89" s="85" t="s">
        <v>247</v>
      </c>
      <c r="I89" s="67" t="s">
        <v>247</v>
      </c>
      <c r="J89" s="83" t="s">
        <v>247</v>
      </c>
      <c r="K89" s="67">
        <v>0</v>
      </c>
      <c r="L89" s="85">
        <v>1</v>
      </c>
      <c r="M89" s="67" t="s">
        <v>247</v>
      </c>
      <c r="N89" s="83">
        <v>0</v>
      </c>
      <c r="O89" s="82">
        <v>2</v>
      </c>
      <c r="P89" s="67">
        <v>4</v>
      </c>
      <c r="Q89" s="67">
        <v>4</v>
      </c>
      <c r="R89" s="79">
        <v>0</v>
      </c>
      <c r="S89" s="82">
        <v>1</v>
      </c>
      <c r="T89" s="67">
        <v>2</v>
      </c>
      <c r="U89" s="67">
        <v>6</v>
      </c>
      <c r="V89" s="67">
        <v>0</v>
      </c>
      <c r="W89" s="85">
        <f t="shared" si="20"/>
        <v>9</v>
      </c>
      <c r="X89" s="86">
        <v>3</v>
      </c>
      <c r="Y89" s="67">
        <v>2</v>
      </c>
      <c r="Z89" s="67">
        <v>3</v>
      </c>
      <c r="AA89" s="67">
        <v>0</v>
      </c>
      <c r="AB89" s="83">
        <f t="shared" si="21"/>
        <v>8</v>
      </c>
      <c r="AC89" s="85"/>
      <c r="AD89" s="85"/>
      <c r="AE89" s="85"/>
      <c r="AF89" s="85"/>
    </row>
    <row r="90" spans="1:32" x14ac:dyDescent="0.2">
      <c r="A90" s="85"/>
      <c r="B90" s="84">
        <v>41296</v>
      </c>
      <c r="C90" s="46">
        <v>24</v>
      </c>
      <c r="D90" s="33">
        <v>10</v>
      </c>
      <c r="E90" s="85" t="s">
        <v>183</v>
      </c>
      <c r="F90" s="85">
        <f>38*60+15</f>
        <v>2295</v>
      </c>
      <c r="G90" s="86" t="s">
        <v>247</v>
      </c>
      <c r="H90" s="85" t="s">
        <v>247</v>
      </c>
      <c r="I90" s="67" t="s">
        <v>247</v>
      </c>
      <c r="J90" s="83" t="s">
        <v>247</v>
      </c>
      <c r="K90" s="67" t="s">
        <v>247</v>
      </c>
      <c r="L90" s="85" t="s">
        <v>247</v>
      </c>
      <c r="M90" s="67" t="s">
        <v>247</v>
      </c>
      <c r="N90" s="83" t="s">
        <v>247</v>
      </c>
      <c r="O90" s="82">
        <v>1</v>
      </c>
      <c r="P90" s="67">
        <v>0</v>
      </c>
      <c r="Q90" s="67">
        <v>8</v>
      </c>
      <c r="R90" s="79">
        <v>0</v>
      </c>
      <c r="S90" s="82">
        <v>1</v>
      </c>
      <c r="T90" s="67">
        <v>1</v>
      </c>
      <c r="U90" s="67">
        <v>5</v>
      </c>
      <c r="V90" s="67">
        <v>0</v>
      </c>
      <c r="W90" s="85">
        <f t="shared" si="20"/>
        <v>7</v>
      </c>
      <c r="X90" s="86">
        <v>0</v>
      </c>
      <c r="Y90" s="67">
        <v>1</v>
      </c>
      <c r="Z90" s="67">
        <v>8</v>
      </c>
      <c r="AA90" s="67">
        <v>0</v>
      </c>
      <c r="AB90" s="83">
        <f t="shared" si="21"/>
        <v>9</v>
      </c>
      <c r="AC90" s="85"/>
      <c r="AD90" s="85"/>
      <c r="AE90" s="85"/>
      <c r="AF90" s="85"/>
    </row>
    <row r="91" spans="1:32" x14ac:dyDescent="0.2">
      <c r="A91" s="85"/>
      <c r="B91" s="84">
        <v>42821</v>
      </c>
      <c r="C91" s="46">
        <v>24</v>
      </c>
      <c r="D91" s="33">
        <v>10</v>
      </c>
      <c r="E91" s="85" t="s">
        <v>220</v>
      </c>
      <c r="F91" s="85">
        <f>18*60+40</f>
        <v>1120</v>
      </c>
      <c r="G91" s="86">
        <v>0</v>
      </c>
      <c r="H91" s="85">
        <v>0</v>
      </c>
      <c r="I91" s="67" t="s">
        <v>247</v>
      </c>
      <c r="J91" s="83">
        <v>0</v>
      </c>
      <c r="K91" s="67">
        <v>0</v>
      </c>
      <c r="L91" s="85">
        <v>1</v>
      </c>
      <c r="M91" s="67" t="s">
        <v>247</v>
      </c>
      <c r="N91" s="83">
        <v>0</v>
      </c>
      <c r="O91" s="67">
        <v>0</v>
      </c>
      <c r="P91" s="85">
        <v>0</v>
      </c>
      <c r="Q91" s="82" t="s">
        <v>247</v>
      </c>
      <c r="R91" s="79">
        <v>0</v>
      </c>
      <c r="S91" s="82">
        <v>0</v>
      </c>
      <c r="T91" s="67">
        <v>0</v>
      </c>
      <c r="U91" s="67">
        <v>19</v>
      </c>
      <c r="V91" s="67">
        <v>0</v>
      </c>
      <c r="W91" s="85">
        <f t="shared" si="20"/>
        <v>19</v>
      </c>
      <c r="X91" s="86">
        <v>0</v>
      </c>
      <c r="Y91" s="67">
        <v>0</v>
      </c>
      <c r="Z91" s="67">
        <v>19</v>
      </c>
      <c r="AA91" s="67">
        <v>0</v>
      </c>
      <c r="AB91" s="83">
        <f t="shared" si="21"/>
        <v>19</v>
      </c>
      <c r="AC91" s="85"/>
      <c r="AD91" s="85"/>
      <c r="AE91" s="85"/>
      <c r="AF91" s="85"/>
    </row>
    <row r="92" spans="1:32" x14ac:dyDescent="0.2">
      <c r="A92" s="33"/>
      <c r="B92" s="33"/>
      <c r="E92" s="16" t="s">
        <v>23</v>
      </c>
      <c r="F92" s="17">
        <f>AVERAGE(F86:F91)</f>
        <v>2059.1666666666665</v>
      </c>
      <c r="G92" s="16"/>
      <c r="H92" s="18"/>
      <c r="I92" s="18"/>
      <c r="J92" s="36"/>
      <c r="K92" s="57"/>
      <c r="L92" s="18"/>
      <c r="M92" s="18"/>
      <c r="N92" s="36"/>
      <c r="O92" s="57"/>
      <c r="P92" s="18"/>
      <c r="Q92" s="18"/>
      <c r="R92" s="36"/>
      <c r="S92" s="57"/>
      <c r="T92" s="18"/>
      <c r="U92" s="18"/>
      <c r="V92" s="18"/>
      <c r="W92" s="18">
        <f>AVERAGE(W86:W91)</f>
        <v>10.333333333333334</v>
      </c>
      <c r="X92" s="16"/>
      <c r="Y92" s="18"/>
      <c r="Z92" s="18"/>
      <c r="AA92" s="18"/>
      <c r="AB92" s="36">
        <f>AVERAGE(AB86:AB91)</f>
        <v>10.333333333333334</v>
      </c>
    </row>
    <row r="93" spans="1:32" x14ac:dyDescent="0.2">
      <c r="A93" s="33"/>
      <c r="B93" s="33"/>
      <c r="E93" s="64" t="s">
        <v>14</v>
      </c>
      <c r="F93" s="20"/>
      <c r="G93" s="19"/>
      <c r="H93" s="20"/>
      <c r="I93" s="20"/>
      <c r="J93" s="21"/>
      <c r="K93" s="75"/>
      <c r="L93" s="20"/>
      <c r="M93" s="20"/>
      <c r="N93" s="21"/>
      <c r="O93" s="75"/>
      <c r="P93" s="20"/>
      <c r="Q93" s="20"/>
      <c r="R93" s="21"/>
      <c r="S93" s="75"/>
      <c r="T93" s="20"/>
      <c r="U93" s="20"/>
      <c r="V93" s="20"/>
      <c r="W93" s="20">
        <f>SUM(W86:W91)</f>
        <v>62</v>
      </c>
      <c r="X93" s="19"/>
      <c r="Y93" s="20"/>
      <c r="Z93" s="20"/>
      <c r="AA93" s="20"/>
      <c r="AB93" s="21">
        <f>SUM(AB86:AB91)</f>
        <v>62</v>
      </c>
    </row>
    <row r="94" spans="1:32" x14ac:dyDescent="0.2">
      <c r="A94" s="23"/>
      <c r="B94" s="23"/>
      <c r="C94" s="15"/>
      <c r="D94" s="15"/>
      <c r="E94" s="11" t="s">
        <v>169</v>
      </c>
      <c r="F94" s="23"/>
      <c r="G94" s="25"/>
      <c r="H94" s="23"/>
      <c r="I94" s="23"/>
      <c r="J94" s="26"/>
      <c r="K94" s="23"/>
      <c r="L94" s="23"/>
      <c r="M94" s="23"/>
      <c r="N94" s="26"/>
      <c r="O94" s="23"/>
      <c r="P94" s="23"/>
      <c r="Q94" s="23"/>
      <c r="R94" s="26"/>
      <c r="S94" s="23"/>
      <c r="T94" s="23"/>
      <c r="U94" s="23"/>
      <c r="V94" s="23"/>
      <c r="W94" s="23"/>
      <c r="X94" s="25"/>
      <c r="Y94" s="23"/>
      <c r="Z94" s="23"/>
      <c r="AA94" s="23"/>
      <c r="AB94" s="26"/>
    </row>
    <row r="95" spans="1:32" x14ac:dyDescent="0.2">
      <c r="A95" s="89" t="s">
        <v>264</v>
      </c>
      <c r="B95" s="13">
        <v>41296</v>
      </c>
      <c r="C95" s="46">
        <v>48</v>
      </c>
      <c r="D95" s="33">
        <v>10</v>
      </c>
      <c r="E95" s="33" t="s">
        <v>174</v>
      </c>
      <c r="F95" s="33">
        <f>34*60+30</f>
        <v>2070</v>
      </c>
      <c r="G95" s="86" t="s">
        <v>247</v>
      </c>
      <c r="H95" s="85" t="s">
        <v>247</v>
      </c>
      <c r="I95" s="67" t="s">
        <v>247</v>
      </c>
      <c r="J95" s="83" t="s">
        <v>247</v>
      </c>
      <c r="K95" s="82">
        <v>1</v>
      </c>
      <c r="L95" s="82">
        <v>0</v>
      </c>
      <c r="M95" s="82">
        <v>9</v>
      </c>
      <c r="N95" s="79">
        <v>0</v>
      </c>
      <c r="O95" s="82">
        <v>3</v>
      </c>
      <c r="P95" s="67">
        <v>1</v>
      </c>
      <c r="Q95" s="67">
        <v>6</v>
      </c>
      <c r="R95" s="79">
        <v>0</v>
      </c>
      <c r="S95" s="82">
        <v>3</v>
      </c>
      <c r="T95" s="67">
        <v>1</v>
      </c>
      <c r="U95" s="67">
        <v>7</v>
      </c>
      <c r="V95" s="67">
        <v>0</v>
      </c>
      <c r="W95" s="85">
        <f t="shared" ref="W95:W98" si="22">SUM(S95:V95)</f>
        <v>11</v>
      </c>
      <c r="X95" s="86">
        <v>4</v>
      </c>
      <c r="Y95" s="67">
        <v>1</v>
      </c>
      <c r="Z95" s="67">
        <v>5</v>
      </c>
      <c r="AA95" s="67">
        <v>0</v>
      </c>
      <c r="AB95" s="83">
        <f t="shared" ref="AB95:AB98" si="23">SUM(X95:AA95)</f>
        <v>10</v>
      </c>
      <c r="AE95" s="106"/>
    </row>
    <row r="96" spans="1:32" x14ac:dyDescent="0.2">
      <c r="A96" s="33"/>
      <c r="B96" s="31">
        <v>41376</v>
      </c>
      <c r="C96" s="46">
        <v>48</v>
      </c>
      <c r="D96" s="33">
        <v>10</v>
      </c>
      <c r="E96" s="33" t="s">
        <v>227</v>
      </c>
      <c r="F96" s="33">
        <f>60*31</f>
        <v>1860</v>
      </c>
      <c r="G96" s="86">
        <v>0</v>
      </c>
      <c r="H96" s="85">
        <v>0</v>
      </c>
      <c r="I96" s="67" t="s">
        <v>247</v>
      </c>
      <c r="J96" s="83">
        <v>0</v>
      </c>
      <c r="K96" s="67">
        <v>0</v>
      </c>
      <c r="L96" s="85">
        <v>2</v>
      </c>
      <c r="M96" s="67" t="s">
        <v>247</v>
      </c>
      <c r="N96" s="83">
        <v>0</v>
      </c>
      <c r="O96" s="67">
        <v>0</v>
      </c>
      <c r="P96" s="85">
        <v>3</v>
      </c>
      <c r="Q96" s="67" t="s">
        <v>247</v>
      </c>
      <c r="R96" s="83">
        <v>0</v>
      </c>
      <c r="S96" s="82">
        <v>0</v>
      </c>
      <c r="T96" s="85">
        <v>2</v>
      </c>
      <c r="U96" s="85">
        <v>19</v>
      </c>
      <c r="V96" s="67">
        <v>0</v>
      </c>
      <c r="W96" s="85">
        <f t="shared" si="22"/>
        <v>21</v>
      </c>
      <c r="X96" s="86">
        <v>0</v>
      </c>
      <c r="Y96" s="67">
        <v>2</v>
      </c>
      <c r="Z96" s="67">
        <v>19</v>
      </c>
      <c r="AA96" s="67">
        <v>0</v>
      </c>
      <c r="AB96" s="83">
        <f t="shared" si="23"/>
        <v>21</v>
      </c>
    </row>
    <row r="97" spans="1:28" x14ac:dyDescent="0.2">
      <c r="A97" s="33"/>
      <c r="B97" s="31">
        <v>41376</v>
      </c>
      <c r="C97" s="46">
        <v>48</v>
      </c>
      <c r="D97" s="33">
        <v>10</v>
      </c>
      <c r="E97" s="33" t="s">
        <v>228</v>
      </c>
      <c r="F97" s="33">
        <f>29*60+50</f>
        <v>1790</v>
      </c>
      <c r="G97" s="86">
        <v>0</v>
      </c>
      <c r="H97" s="85">
        <v>0</v>
      </c>
      <c r="I97" s="67" t="s">
        <v>247</v>
      </c>
      <c r="J97" s="83">
        <v>0</v>
      </c>
      <c r="K97" s="67">
        <v>0</v>
      </c>
      <c r="L97" s="85">
        <v>2</v>
      </c>
      <c r="M97" s="67" t="s">
        <v>247</v>
      </c>
      <c r="N97" s="83">
        <v>0</v>
      </c>
      <c r="O97" s="67">
        <v>2</v>
      </c>
      <c r="P97" s="85">
        <v>2</v>
      </c>
      <c r="Q97" s="82" t="s">
        <v>247</v>
      </c>
      <c r="R97" s="83">
        <v>0</v>
      </c>
      <c r="S97" s="82">
        <v>2</v>
      </c>
      <c r="T97" s="85">
        <v>1</v>
      </c>
      <c r="U97" s="85">
        <v>13</v>
      </c>
      <c r="V97" s="67">
        <v>0</v>
      </c>
      <c r="W97" s="85">
        <f t="shared" si="22"/>
        <v>16</v>
      </c>
      <c r="X97" s="86">
        <v>1</v>
      </c>
      <c r="Y97" s="67">
        <v>2</v>
      </c>
      <c r="Z97" s="67">
        <v>13</v>
      </c>
      <c r="AA97" s="67">
        <v>0</v>
      </c>
      <c r="AB97" s="83">
        <f t="shared" si="23"/>
        <v>16</v>
      </c>
    </row>
    <row r="98" spans="1:28" x14ac:dyDescent="0.2">
      <c r="A98" s="33"/>
      <c r="B98" s="31">
        <v>41376</v>
      </c>
      <c r="C98" s="46">
        <v>48</v>
      </c>
      <c r="D98" s="33">
        <v>10</v>
      </c>
      <c r="E98" s="33" t="s">
        <v>229</v>
      </c>
      <c r="F98" s="33">
        <f>21*60</f>
        <v>1260</v>
      </c>
      <c r="G98" s="86">
        <v>0</v>
      </c>
      <c r="H98" s="85">
        <v>0</v>
      </c>
      <c r="I98" s="67" t="s">
        <v>247</v>
      </c>
      <c r="J98" s="83">
        <v>0</v>
      </c>
      <c r="K98" s="67">
        <v>0</v>
      </c>
      <c r="L98" s="85">
        <v>2</v>
      </c>
      <c r="M98" s="82" t="s">
        <v>247</v>
      </c>
      <c r="N98" s="83">
        <v>0</v>
      </c>
      <c r="O98" s="67">
        <v>0</v>
      </c>
      <c r="P98" s="85">
        <v>2</v>
      </c>
      <c r="Q98" s="82" t="s">
        <v>247</v>
      </c>
      <c r="R98" s="83">
        <v>0</v>
      </c>
      <c r="S98" s="82">
        <v>1</v>
      </c>
      <c r="T98" s="85">
        <v>1</v>
      </c>
      <c r="U98" s="85">
        <v>15</v>
      </c>
      <c r="V98" s="67">
        <v>0</v>
      </c>
      <c r="W98" s="85">
        <f t="shared" si="22"/>
        <v>17</v>
      </c>
      <c r="X98" s="86">
        <v>1</v>
      </c>
      <c r="Y98" s="67">
        <v>1</v>
      </c>
      <c r="Z98" s="67">
        <v>16</v>
      </c>
      <c r="AA98" s="67">
        <v>0</v>
      </c>
      <c r="AB98" s="83">
        <f t="shared" si="23"/>
        <v>18</v>
      </c>
    </row>
    <row r="99" spans="1:28" x14ac:dyDescent="0.2">
      <c r="A99" s="33"/>
      <c r="B99" s="33"/>
      <c r="E99" s="16" t="s">
        <v>23</v>
      </c>
      <c r="F99" s="36">
        <f>AVERAGE(F95:F98)</f>
        <v>1745</v>
      </c>
      <c r="G99" s="17"/>
      <c r="H99" s="17"/>
      <c r="I99" s="17"/>
      <c r="J99" s="36"/>
      <c r="K99" s="17"/>
      <c r="L99" s="17"/>
      <c r="M99" s="17"/>
      <c r="N99" s="36"/>
      <c r="O99" s="17"/>
      <c r="P99" s="17"/>
      <c r="Q99" s="17"/>
      <c r="R99" s="36"/>
      <c r="S99" s="17"/>
      <c r="T99" s="17"/>
      <c r="U99" s="17"/>
      <c r="V99" s="17"/>
      <c r="W99" s="116">
        <f>AVERAGE(W95:W98)</f>
        <v>16.25</v>
      </c>
      <c r="X99" s="116"/>
      <c r="Y99" s="116"/>
      <c r="Z99" s="116"/>
      <c r="AA99" s="116"/>
      <c r="AB99" s="103">
        <f>AVERAGE(AB95:AB98)</f>
        <v>16.25</v>
      </c>
    </row>
    <row r="100" spans="1:28" x14ac:dyDescent="0.2">
      <c r="A100" s="33"/>
      <c r="B100" s="33"/>
      <c r="E100" s="61" t="s">
        <v>14</v>
      </c>
      <c r="F100" s="21"/>
      <c r="G100" s="20"/>
      <c r="H100" s="20"/>
      <c r="I100" s="20"/>
      <c r="J100" s="21"/>
      <c r="K100" s="20"/>
      <c r="L100" s="20"/>
      <c r="M100" s="20"/>
      <c r="N100" s="21"/>
      <c r="O100" s="20"/>
      <c r="P100" s="20"/>
      <c r="Q100" s="20"/>
      <c r="R100" s="21"/>
      <c r="S100" s="61"/>
      <c r="T100" s="20"/>
      <c r="U100" s="20"/>
      <c r="V100" s="20"/>
      <c r="W100" s="111">
        <f>SUM(W95:W98)</f>
        <v>65</v>
      </c>
      <c r="X100" s="112"/>
      <c r="Y100" s="112"/>
      <c r="Z100" s="112"/>
      <c r="AA100" s="111"/>
      <c r="AB100" s="113">
        <f>SUM(AB95:AB98)</f>
        <v>65</v>
      </c>
    </row>
    <row r="101" spans="1:28" s="33" customFormat="1" x14ac:dyDescent="0.2">
      <c r="A101" s="23"/>
      <c r="B101" s="23"/>
      <c r="C101" s="15"/>
      <c r="D101" s="15"/>
      <c r="E101" s="11" t="s">
        <v>200</v>
      </c>
      <c r="F101" s="23"/>
      <c r="G101" s="25"/>
      <c r="H101" s="23"/>
      <c r="I101" s="23"/>
      <c r="J101" s="26"/>
      <c r="K101" s="23"/>
      <c r="L101" s="23"/>
      <c r="M101" s="23"/>
      <c r="N101" s="26"/>
      <c r="O101" s="23"/>
      <c r="P101" s="23"/>
      <c r="Q101" s="23"/>
      <c r="R101" s="26"/>
      <c r="S101" s="23"/>
      <c r="T101" s="23"/>
      <c r="U101" s="23"/>
      <c r="V101" s="23"/>
      <c r="W101" s="97"/>
      <c r="X101" s="115"/>
      <c r="Y101" s="97"/>
      <c r="Z101" s="97"/>
      <c r="AA101" s="97"/>
      <c r="AB101" s="114"/>
    </row>
    <row r="102" spans="1:28" s="33" customFormat="1" x14ac:dyDescent="0.2">
      <c r="B102" s="13">
        <v>41333</v>
      </c>
      <c r="C102" s="46">
        <f t="shared" ref="C102:C104" si="24">14*24</f>
        <v>336</v>
      </c>
      <c r="D102" s="33">
        <v>10</v>
      </c>
      <c r="E102" s="33" t="s">
        <v>201</v>
      </c>
      <c r="F102" s="33">
        <f>41*60</f>
        <v>2460</v>
      </c>
      <c r="G102" s="86" t="s">
        <v>247</v>
      </c>
      <c r="H102" s="85" t="s">
        <v>247</v>
      </c>
      <c r="I102" s="85" t="s">
        <v>247</v>
      </c>
      <c r="J102" s="83" t="s">
        <v>247</v>
      </c>
      <c r="K102" s="86" t="s">
        <v>247</v>
      </c>
      <c r="L102" s="85" t="s">
        <v>247</v>
      </c>
      <c r="M102" s="85" t="s">
        <v>247</v>
      </c>
      <c r="N102" s="83" t="s">
        <v>247</v>
      </c>
      <c r="O102" s="86" t="s">
        <v>247</v>
      </c>
      <c r="P102" s="85" t="s">
        <v>247</v>
      </c>
      <c r="Q102" s="85" t="s">
        <v>247</v>
      </c>
      <c r="R102" s="83" t="s">
        <v>247</v>
      </c>
      <c r="S102" s="15" t="s">
        <v>247</v>
      </c>
      <c r="T102" s="46" t="s">
        <v>247</v>
      </c>
      <c r="U102" s="46" t="s">
        <v>247</v>
      </c>
      <c r="V102" s="46" t="s">
        <v>247</v>
      </c>
      <c r="W102" s="85" t="s">
        <v>247</v>
      </c>
      <c r="X102" s="86">
        <v>0</v>
      </c>
      <c r="Y102" s="67">
        <v>0</v>
      </c>
      <c r="Z102" s="67">
        <v>17</v>
      </c>
      <c r="AA102" s="67">
        <v>0</v>
      </c>
      <c r="AB102" s="83">
        <f t="shared" ref="AB102:AB104" si="25">SUM(X102:AA102)</f>
        <v>17</v>
      </c>
    </row>
    <row r="103" spans="1:28" s="33" customFormat="1" x14ac:dyDescent="0.2">
      <c r="B103" s="13">
        <v>41333</v>
      </c>
      <c r="C103" s="46">
        <f t="shared" si="24"/>
        <v>336</v>
      </c>
      <c r="D103" s="33">
        <v>10</v>
      </c>
      <c r="E103" s="33" t="s">
        <v>202</v>
      </c>
      <c r="F103" s="33">
        <f>60*38</f>
        <v>2280</v>
      </c>
      <c r="G103" s="86" t="s">
        <v>247</v>
      </c>
      <c r="H103" s="85" t="s">
        <v>247</v>
      </c>
      <c r="I103" s="85" t="s">
        <v>247</v>
      </c>
      <c r="J103" s="83" t="s">
        <v>247</v>
      </c>
      <c r="K103" s="86" t="s">
        <v>247</v>
      </c>
      <c r="L103" s="85" t="s">
        <v>247</v>
      </c>
      <c r="M103" s="85" t="s">
        <v>247</v>
      </c>
      <c r="N103" s="83" t="s">
        <v>247</v>
      </c>
      <c r="O103" s="86" t="s">
        <v>247</v>
      </c>
      <c r="P103" s="85" t="s">
        <v>247</v>
      </c>
      <c r="Q103" s="85" t="s">
        <v>247</v>
      </c>
      <c r="R103" s="83" t="s">
        <v>247</v>
      </c>
      <c r="S103" s="15">
        <v>0</v>
      </c>
      <c r="T103" s="33">
        <v>0</v>
      </c>
      <c r="U103" s="33">
        <v>20</v>
      </c>
      <c r="V103" s="46">
        <v>0</v>
      </c>
      <c r="W103" s="85">
        <f t="shared" ref="W103:W104" si="26">SUM(S103:V103)</f>
        <v>20</v>
      </c>
      <c r="X103" s="86">
        <v>0</v>
      </c>
      <c r="Y103" s="85">
        <v>0</v>
      </c>
      <c r="Z103" s="85">
        <v>20</v>
      </c>
      <c r="AA103" s="67">
        <v>0</v>
      </c>
      <c r="AB103" s="83">
        <f t="shared" si="25"/>
        <v>20</v>
      </c>
    </row>
    <row r="104" spans="1:28" s="33" customFormat="1" x14ac:dyDescent="0.2">
      <c r="B104" s="13">
        <v>41333</v>
      </c>
      <c r="C104" s="46">
        <f t="shared" si="24"/>
        <v>336</v>
      </c>
      <c r="D104" s="33">
        <v>10</v>
      </c>
      <c r="E104" s="33" t="s">
        <v>203</v>
      </c>
      <c r="F104" s="33">
        <f>60*39</f>
        <v>2340</v>
      </c>
      <c r="G104" s="86" t="s">
        <v>247</v>
      </c>
      <c r="H104" s="85" t="s">
        <v>247</v>
      </c>
      <c r="I104" s="85" t="s">
        <v>247</v>
      </c>
      <c r="J104" s="83" t="s">
        <v>247</v>
      </c>
      <c r="K104" s="86" t="s">
        <v>247</v>
      </c>
      <c r="L104" s="85" t="s">
        <v>247</v>
      </c>
      <c r="M104" s="85" t="s">
        <v>247</v>
      </c>
      <c r="N104" s="83" t="s">
        <v>247</v>
      </c>
      <c r="O104" s="86" t="s">
        <v>247</v>
      </c>
      <c r="P104" s="85" t="s">
        <v>247</v>
      </c>
      <c r="Q104" s="85" t="s">
        <v>247</v>
      </c>
      <c r="R104" s="83" t="s">
        <v>247</v>
      </c>
      <c r="S104" s="15">
        <v>0</v>
      </c>
      <c r="T104" s="33">
        <v>0</v>
      </c>
      <c r="U104" s="46">
        <v>19</v>
      </c>
      <c r="V104" s="46">
        <v>0</v>
      </c>
      <c r="W104" s="85">
        <f t="shared" si="26"/>
        <v>19</v>
      </c>
      <c r="X104" s="86">
        <v>0</v>
      </c>
      <c r="Y104" s="85">
        <v>0</v>
      </c>
      <c r="Z104" s="67">
        <v>19</v>
      </c>
      <c r="AA104" s="67">
        <v>0</v>
      </c>
      <c r="AB104" s="83">
        <f t="shared" si="25"/>
        <v>19</v>
      </c>
    </row>
    <row r="105" spans="1:28" s="33" customFormat="1" x14ac:dyDescent="0.2">
      <c r="E105" s="16" t="s">
        <v>23</v>
      </c>
      <c r="F105" s="36">
        <f>AVERAGE(F102:F104)</f>
        <v>2360</v>
      </c>
      <c r="G105" s="17"/>
      <c r="H105" s="17"/>
      <c r="I105" s="17"/>
      <c r="J105" s="36"/>
      <c r="K105" s="17"/>
      <c r="L105" s="17"/>
      <c r="M105" s="17"/>
      <c r="N105" s="36"/>
      <c r="O105" s="17"/>
      <c r="P105" s="17"/>
      <c r="Q105" s="17"/>
      <c r="R105" s="36"/>
      <c r="S105" s="17"/>
      <c r="T105" s="17"/>
      <c r="U105" s="17"/>
      <c r="V105" s="17"/>
      <c r="W105" s="116">
        <f>AVERAGE(W103:W104)</f>
        <v>19.5</v>
      </c>
      <c r="X105" s="116"/>
      <c r="Y105" s="116"/>
      <c r="Z105" s="116"/>
      <c r="AA105" s="116"/>
      <c r="AB105" s="103">
        <f>AVERAGE(AB102:AB104)</f>
        <v>18.666666666666668</v>
      </c>
    </row>
    <row r="106" spans="1:28" s="33" customFormat="1" x14ac:dyDescent="0.2">
      <c r="A106" s="60"/>
      <c r="B106" s="60"/>
      <c r="C106" s="60"/>
      <c r="D106" s="60"/>
      <c r="E106" s="61" t="s">
        <v>14</v>
      </c>
      <c r="F106" s="62"/>
      <c r="G106" s="61"/>
      <c r="H106" s="61"/>
      <c r="I106" s="61"/>
      <c r="J106" s="62"/>
      <c r="K106" s="61"/>
      <c r="L106" s="61"/>
      <c r="M106" s="61"/>
      <c r="N106" s="62"/>
      <c r="O106" s="61"/>
      <c r="P106" s="61"/>
      <c r="Q106" s="61"/>
      <c r="R106" s="62"/>
      <c r="S106" s="61"/>
      <c r="T106" s="61"/>
      <c r="U106" s="61"/>
      <c r="V106" s="61"/>
      <c r="W106" s="61">
        <f>SUM(W102:W104)</f>
        <v>39</v>
      </c>
      <c r="X106" s="61"/>
      <c r="Y106" s="61"/>
      <c r="Z106" s="61"/>
      <c r="AA106" s="61"/>
      <c r="AB106" s="62">
        <f>SUM(AB102:AB104)</f>
        <v>56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X208"/>
  <sheetViews>
    <sheetView zoomScale="92" zoomScaleNormal="70"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5" x14ac:dyDescent="0.2"/>
  <cols>
    <col min="1" max="1" width="33.5" style="33" customWidth="1"/>
    <col min="2" max="3" width="23.5" style="33" customWidth="1"/>
    <col min="4" max="4" width="33.6640625" style="6" customWidth="1"/>
    <col min="5" max="5" width="8.83203125" style="33"/>
    <col min="6" max="6" width="6.33203125" style="33" bestFit="1" customWidth="1"/>
    <col min="7" max="7" width="2.5" style="33" bestFit="1" customWidth="1"/>
    <col min="8" max="8" width="3" style="33" bestFit="1" customWidth="1"/>
    <col min="9" max="9" width="2.5" style="33" bestFit="1" customWidth="1"/>
    <col min="10" max="10" width="4.5" style="33" customWidth="1"/>
    <col min="11" max="11" width="7.5" style="33" bestFit="1" customWidth="1"/>
    <col min="12" max="13" width="3" style="33" bestFit="1" customWidth="1"/>
    <col min="14" max="14" width="3.83203125" style="33" bestFit="1" customWidth="1"/>
    <col min="15" max="16" width="5.5" style="33" customWidth="1"/>
    <col min="17" max="17" width="2.5" style="33" bestFit="1" customWidth="1"/>
    <col min="18" max="18" width="5" style="33" bestFit="1" customWidth="1"/>
    <col min="19" max="19" width="2.5" style="33" bestFit="1" customWidth="1"/>
    <col min="20" max="20" width="5.33203125" style="33" customWidth="1"/>
    <col min="21" max="21" width="5" style="33" bestFit="1" customWidth="1"/>
    <col min="22" max="22" width="5" style="33" customWidth="1"/>
    <col min="23" max="24" width="3" style="33" bestFit="1" customWidth="1"/>
    <col min="25" max="25" width="5" style="33" customWidth="1"/>
    <col min="26" max="26" width="5" style="33" bestFit="1" customWidth="1"/>
    <col min="27" max="27" width="5.33203125" style="33" customWidth="1"/>
    <col min="28" max="28" width="4" style="33" bestFit="1" customWidth="1"/>
    <col min="29" max="29" width="2.5" style="33" bestFit="1" customWidth="1"/>
    <col min="30" max="30" width="12" style="33" bestFit="1" customWidth="1"/>
    <col min="31" max="31" width="2.6640625" style="33" bestFit="1" customWidth="1"/>
    <col min="32" max="32" width="5.6640625" style="33" bestFit="1" customWidth="1"/>
    <col min="33" max="49" width="8.83203125" style="33"/>
    <col min="50" max="50" width="8.83203125" style="15"/>
    <col min="51" max="16384" width="8.83203125" style="33"/>
  </cols>
  <sheetData>
    <row r="1" spans="1:284" x14ac:dyDescent="0.2">
      <c r="A1" s="1" t="s">
        <v>0</v>
      </c>
      <c r="B1" s="2" t="s">
        <v>1</v>
      </c>
      <c r="C1" s="2"/>
      <c r="D1" s="3"/>
      <c r="E1" s="4" t="s">
        <v>2</v>
      </c>
      <c r="F1" s="5" t="s">
        <v>3</v>
      </c>
      <c r="G1" s="2"/>
      <c r="H1" s="2"/>
      <c r="I1" s="1"/>
      <c r="J1" s="74" t="s">
        <v>4</v>
      </c>
      <c r="K1" s="2"/>
      <c r="L1" s="2"/>
      <c r="M1" s="2"/>
      <c r="N1" s="5" t="s">
        <v>5</v>
      </c>
      <c r="O1" s="2"/>
      <c r="P1" s="2"/>
      <c r="Q1" s="2"/>
      <c r="R1" s="5" t="s">
        <v>6</v>
      </c>
      <c r="S1" s="2"/>
      <c r="T1" s="2"/>
      <c r="U1" s="2"/>
      <c r="V1" s="2"/>
      <c r="W1" s="5" t="s">
        <v>7</v>
      </c>
      <c r="X1" s="2"/>
      <c r="Y1" s="2"/>
      <c r="Z1" s="2"/>
      <c r="AA1" s="1"/>
      <c r="AU1" s="15"/>
      <c r="AX1" s="33"/>
    </row>
    <row r="2" spans="1:284" s="60" customFormat="1" x14ac:dyDescent="0.2">
      <c r="A2" s="33"/>
      <c r="B2" s="33"/>
      <c r="C2" s="33"/>
      <c r="D2" s="11" t="s">
        <v>231</v>
      </c>
      <c r="E2" s="7"/>
      <c r="F2" s="8" t="s">
        <v>9</v>
      </c>
      <c r="G2" s="9" t="s">
        <v>10</v>
      </c>
      <c r="H2" s="9" t="s">
        <v>11</v>
      </c>
      <c r="I2" s="68" t="s">
        <v>12</v>
      </c>
      <c r="J2" s="9" t="s">
        <v>9</v>
      </c>
      <c r="K2" s="9" t="s">
        <v>10</v>
      </c>
      <c r="L2" s="9" t="s">
        <v>11</v>
      </c>
      <c r="M2" s="9" t="s">
        <v>12</v>
      </c>
      <c r="N2" s="8" t="s">
        <v>9</v>
      </c>
      <c r="O2" s="9" t="s">
        <v>10</v>
      </c>
      <c r="P2" s="9" t="s">
        <v>11</v>
      </c>
      <c r="Q2" s="9" t="s">
        <v>12</v>
      </c>
      <c r="R2" s="8" t="s">
        <v>9</v>
      </c>
      <c r="S2" s="9" t="s">
        <v>10</v>
      </c>
      <c r="T2" s="9" t="s">
        <v>11</v>
      </c>
      <c r="U2" s="9" t="s">
        <v>12</v>
      </c>
      <c r="V2" s="9" t="s">
        <v>13</v>
      </c>
      <c r="W2" s="8" t="s">
        <v>9</v>
      </c>
      <c r="X2" s="9" t="s">
        <v>10</v>
      </c>
      <c r="Y2" s="9" t="s">
        <v>11</v>
      </c>
      <c r="Z2" s="9" t="s">
        <v>12</v>
      </c>
      <c r="AA2" s="68" t="s">
        <v>14</v>
      </c>
      <c r="AB2" s="33"/>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row>
    <row r="3" spans="1:284" s="15" customFormat="1" x14ac:dyDescent="0.2">
      <c r="A3" s="33"/>
      <c r="D3" s="11" t="s">
        <v>16</v>
      </c>
      <c r="F3" s="6"/>
      <c r="I3" s="43"/>
      <c r="N3" s="6"/>
      <c r="R3" s="6"/>
      <c r="V3" s="43"/>
      <c r="W3" s="6"/>
      <c r="AA3" s="43"/>
      <c r="AB3" s="33"/>
    </row>
    <row r="4" spans="1:284" s="15" customFormat="1" x14ac:dyDescent="0.2">
      <c r="A4" s="33"/>
      <c r="B4" s="13">
        <v>41807</v>
      </c>
      <c r="C4" s="33">
        <v>2</v>
      </c>
      <c r="D4" s="6" t="s">
        <v>241</v>
      </c>
      <c r="E4" s="33">
        <f>AVERAGE(20,18,15,12,8,12,30,30,30,8,8,5,15,10,25,15,8,10,18,8)</f>
        <v>15.25</v>
      </c>
      <c r="F4" s="6"/>
      <c r="G4" s="33"/>
      <c r="H4" s="33"/>
      <c r="I4" s="43"/>
      <c r="J4" s="15">
        <v>0</v>
      </c>
      <c r="K4" s="15">
        <v>1</v>
      </c>
      <c r="L4" s="15">
        <v>14</v>
      </c>
      <c r="M4" s="46">
        <v>0</v>
      </c>
      <c r="N4" s="6">
        <v>0</v>
      </c>
      <c r="O4" s="46">
        <v>1</v>
      </c>
      <c r="P4" s="46">
        <v>13</v>
      </c>
      <c r="Q4" s="46">
        <v>0</v>
      </c>
      <c r="R4" s="6">
        <v>1</v>
      </c>
      <c r="S4" s="46">
        <v>0</v>
      </c>
      <c r="T4" s="46">
        <v>13</v>
      </c>
      <c r="U4" s="46">
        <v>0</v>
      </c>
      <c r="V4" s="33">
        <f t="shared" ref="V4" si="0">SUM(R4:U4)</f>
        <v>14</v>
      </c>
      <c r="W4" s="6">
        <v>0</v>
      </c>
      <c r="X4" s="46">
        <v>3</v>
      </c>
      <c r="Y4" s="46">
        <v>10</v>
      </c>
      <c r="Z4" s="46">
        <v>0</v>
      </c>
      <c r="AA4" s="43">
        <f t="shared" ref="AA4" si="1">SUM(W4:Z4)</f>
        <v>13</v>
      </c>
      <c r="AB4" s="33"/>
    </row>
    <row r="5" spans="1:284" s="49" customFormat="1" x14ac:dyDescent="0.2">
      <c r="A5" s="48" t="s">
        <v>243</v>
      </c>
      <c r="B5" s="72">
        <v>41807</v>
      </c>
      <c r="C5" s="33">
        <v>2</v>
      </c>
      <c r="D5" s="69" t="s">
        <v>242</v>
      </c>
      <c r="E5" s="48">
        <f>AVERAGE(18,8,6,6,6,12,12,12,12,15,18,8,14,12,15,18,18,15,20,15)</f>
        <v>13</v>
      </c>
      <c r="F5" s="69"/>
      <c r="G5" s="48"/>
      <c r="H5" s="48"/>
      <c r="I5" s="70"/>
      <c r="N5" s="69"/>
      <c r="R5" s="69"/>
      <c r="V5" s="107"/>
      <c r="W5" s="108"/>
      <c r="X5" s="109"/>
      <c r="Y5" s="109"/>
      <c r="Z5" s="109"/>
      <c r="AA5" s="110"/>
      <c r="AB5" s="107"/>
    </row>
    <row r="6" spans="1:284" s="15" customFormat="1" x14ac:dyDescent="0.2">
      <c r="A6" s="33"/>
      <c r="B6" s="27"/>
      <c r="C6" s="27"/>
      <c r="D6" s="16" t="s">
        <v>23</v>
      </c>
      <c r="E6" s="17">
        <f>AVERAGE(E4:E5)</f>
        <v>14.125</v>
      </c>
      <c r="F6" s="16"/>
      <c r="G6" s="18"/>
      <c r="H6" s="18"/>
      <c r="I6" s="36"/>
      <c r="J6" s="57"/>
      <c r="K6" s="18"/>
      <c r="L6" s="18"/>
      <c r="M6" s="18"/>
      <c r="N6" s="16"/>
      <c r="O6" s="18"/>
      <c r="P6" s="18"/>
      <c r="Q6" s="18"/>
      <c r="R6" s="16"/>
      <c r="S6" s="18"/>
      <c r="T6" s="18"/>
      <c r="U6" s="18"/>
      <c r="V6" s="98">
        <f>AVERAGE(V4:V4)</f>
        <v>14</v>
      </c>
      <c r="W6" s="99"/>
      <c r="X6" s="98"/>
      <c r="Y6" s="98"/>
      <c r="Z6" s="98"/>
      <c r="AA6" s="103">
        <f>AVERAGE(AA4:AA4)</f>
        <v>13</v>
      </c>
      <c r="AB6" s="33"/>
    </row>
    <row r="7" spans="1:284" s="15" customFormat="1" x14ac:dyDescent="0.2">
      <c r="A7" s="33"/>
      <c r="B7" s="2"/>
      <c r="C7" s="2"/>
      <c r="D7" s="64" t="s">
        <v>14</v>
      </c>
      <c r="E7" s="61"/>
      <c r="F7" s="64"/>
      <c r="G7" s="61"/>
      <c r="H7" s="61"/>
      <c r="I7" s="62"/>
      <c r="J7" s="80"/>
      <c r="K7" s="61"/>
      <c r="L7" s="61"/>
      <c r="M7" s="61"/>
      <c r="N7" s="64"/>
      <c r="O7" s="61"/>
      <c r="P7" s="61"/>
      <c r="Q7" s="61"/>
      <c r="R7" s="64"/>
      <c r="S7" s="61"/>
      <c r="T7" s="61"/>
      <c r="U7" s="61"/>
      <c r="V7" s="100">
        <f>SUM(V4:V5)</f>
        <v>14</v>
      </c>
      <c r="W7" s="101"/>
      <c r="X7" s="100"/>
      <c r="Y7" s="100"/>
      <c r="Z7" s="100"/>
      <c r="AA7" s="102">
        <f>SUM(AA4:AA5)</f>
        <v>13</v>
      </c>
      <c r="AB7" s="60"/>
      <c r="AC7" s="60"/>
    </row>
    <row r="8" spans="1:284" x14ac:dyDescent="0.2">
      <c r="D8" s="71" t="s">
        <v>24</v>
      </c>
      <c r="E8" s="12"/>
      <c r="F8" s="6"/>
      <c r="I8" s="43"/>
      <c r="J8" s="15"/>
      <c r="N8" s="6"/>
      <c r="R8" s="6"/>
      <c r="V8" s="85"/>
      <c r="W8" s="86"/>
      <c r="X8" s="85"/>
      <c r="Y8" s="85"/>
      <c r="Z8" s="85"/>
      <c r="AA8" s="83"/>
      <c r="AC8" s="15"/>
      <c r="AD8" s="15"/>
      <c r="AE8" s="15"/>
      <c r="AF8" s="15"/>
      <c r="AG8" s="15"/>
      <c r="AH8" s="15"/>
      <c r="AI8" s="15"/>
      <c r="AJ8" s="15"/>
      <c r="AK8" s="15"/>
      <c r="AL8" s="15"/>
      <c r="AM8" s="15"/>
      <c r="AN8" s="15"/>
      <c r="AO8" s="15"/>
      <c r="AP8" s="15"/>
      <c r="AQ8" s="15"/>
      <c r="AR8" s="15"/>
      <c r="AS8" s="15"/>
      <c r="AT8" s="15"/>
      <c r="AU8" s="15"/>
      <c r="AV8" s="15"/>
      <c r="AW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row>
    <row r="9" spans="1:284" x14ac:dyDescent="0.2">
      <c r="B9" s="13">
        <v>41668</v>
      </c>
      <c r="C9" s="33">
        <v>24</v>
      </c>
      <c r="D9" s="6" t="s">
        <v>236</v>
      </c>
      <c r="E9" s="85">
        <f>AVERAGE(12,10,10,18,18,20,20,15,12,12,18,18,10,10,10,18,15,15,10,10)</f>
        <v>14.05</v>
      </c>
      <c r="F9" s="6" t="s">
        <v>247</v>
      </c>
      <c r="G9" s="33" t="s">
        <v>247</v>
      </c>
      <c r="H9" s="46" t="s">
        <v>247</v>
      </c>
      <c r="I9" s="43" t="s">
        <v>247</v>
      </c>
      <c r="J9" s="46">
        <v>0</v>
      </c>
      <c r="K9" s="33">
        <v>3</v>
      </c>
      <c r="L9" s="46" t="s">
        <v>247</v>
      </c>
      <c r="M9" s="33">
        <v>0</v>
      </c>
      <c r="N9" s="6">
        <v>0</v>
      </c>
      <c r="O9" s="33">
        <v>2</v>
      </c>
      <c r="P9" s="33" t="s">
        <v>247</v>
      </c>
      <c r="Q9" s="46">
        <v>0</v>
      </c>
      <c r="R9" s="6">
        <v>2</v>
      </c>
      <c r="S9" s="46">
        <v>4</v>
      </c>
      <c r="T9" s="33" t="s">
        <v>247</v>
      </c>
      <c r="U9" s="46">
        <v>0</v>
      </c>
      <c r="V9" s="85" t="s">
        <v>247</v>
      </c>
      <c r="W9" s="86">
        <v>4</v>
      </c>
      <c r="X9" s="67">
        <v>5</v>
      </c>
      <c r="Y9" s="67">
        <v>4</v>
      </c>
      <c r="Z9" s="67">
        <v>0</v>
      </c>
      <c r="AA9" s="83">
        <f>SUM(W9:Z9)</f>
        <v>13</v>
      </c>
      <c r="AU9" s="15"/>
      <c r="AX9" s="33"/>
    </row>
    <row r="10" spans="1:284" x14ac:dyDescent="0.2">
      <c r="B10" s="13">
        <v>41668</v>
      </c>
      <c r="C10" s="33">
        <v>24</v>
      </c>
      <c r="D10" s="6" t="s">
        <v>237</v>
      </c>
      <c r="E10" s="33">
        <f>AVERAGE(18,15,12,10,15,12,10,10,10,10,12,10,18,20,10,15,15,18,18,12)</f>
        <v>13.5</v>
      </c>
      <c r="F10" s="6" t="s">
        <v>247</v>
      </c>
      <c r="G10" s="33" t="s">
        <v>247</v>
      </c>
      <c r="H10" s="46" t="s">
        <v>247</v>
      </c>
      <c r="I10" s="56" t="s">
        <v>247</v>
      </c>
      <c r="J10" s="15">
        <v>0</v>
      </c>
      <c r="K10" s="67">
        <v>3</v>
      </c>
      <c r="L10" s="67" t="s">
        <v>247</v>
      </c>
      <c r="M10" s="67">
        <v>0</v>
      </c>
      <c r="N10" s="86">
        <v>0</v>
      </c>
      <c r="O10" s="67">
        <v>3</v>
      </c>
      <c r="P10" s="67" t="s">
        <v>247</v>
      </c>
      <c r="Q10" s="67">
        <v>0</v>
      </c>
      <c r="R10" s="86">
        <v>0</v>
      </c>
      <c r="S10" s="67">
        <v>1</v>
      </c>
      <c r="T10" s="67" t="s">
        <v>247</v>
      </c>
      <c r="U10" s="67">
        <v>0</v>
      </c>
      <c r="V10" s="85" t="s">
        <v>247</v>
      </c>
      <c r="W10" s="86">
        <v>0</v>
      </c>
      <c r="X10" s="67">
        <v>3</v>
      </c>
      <c r="Y10" s="67">
        <v>11</v>
      </c>
      <c r="Z10" s="67">
        <v>0</v>
      </c>
      <c r="AA10" s="83">
        <f t="shared" ref="AA10:AA13" si="2">SUM(W10:Z10)</f>
        <v>14</v>
      </c>
      <c r="AU10" s="15"/>
      <c r="AX10" s="33"/>
    </row>
    <row r="11" spans="1:284" x14ac:dyDescent="0.2">
      <c r="B11" s="13">
        <v>41668</v>
      </c>
      <c r="C11" s="33">
        <v>24</v>
      </c>
      <c r="D11" s="6" t="s">
        <v>238</v>
      </c>
      <c r="E11" s="33">
        <f>AVERAGE(30,15,12,10,10,10,12,25,18,12,12,12,12,18,10,10,10,20,20,20)</f>
        <v>14.9</v>
      </c>
      <c r="F11" s="6" t="s">
        <v>247</v>
      </c>
      <c r="G11" s="33" t="s">
        <v>247</v>
      </c>
      <c r="H11" s="46" t="s">
        <v>247</v>
      </c>
      <c r="I11" s="56" t="s">
        <v>247</v>
      </c>
      <c r="J11" s="15">
        <v>0</v>
      </c>
      <c r="K11" s="67">
        <v>2</v>
      </c>
      <c r="L11" s="67" t="s">
        <v>247</v>
      </c>
      <c r="M11" s="67">
        <v>0</v>
      </c>
      <c r="N11" s="86">
        <v>0</v>
      </c>
      <c r="O11" s="67">
        <v>3</v>
      </c>
      <c r="P11" s="67" t="s">
        <v>247</v>
      </c>
      <c r="Q11" s="67">
        <v>0</v>
      </c>
      <c r="R11" s="86">
        <v>6</v>
      </c>
      <c r="S11" s="67">
        <v>3</v>
      </c>
      <c r="T11" s="67" t="s">
        <v>247</v>
      </c>
      <c r="U11" s="67">
        <v>0</v>
      </c>
      <c r="V11" s="85" t="s">
        <v>247</v>
      </c>
      <c r="W11" s="86">
        <v>5</v>
      </c>
      <c r="X11" s="67">
        <v>5</v>
      </c>
      <c r="Y11" s="67">
        <v>8</v>
      </c>
      <c r="Z11" s="67">
        <v>1</v>
      </c>
      <c r="AA11" s="83">
        <f t="shared" si="2"/>
        <v>19</v>
      </c>
      <c r="AU11" s="15"/>
      <c r="AX11" s="33"/>
    </row>
    <row r="12" spans="1:284" x14ac:dyDescent="0.2">
      <c r="B12" s="13">
        <v>41668</v>
      </c>
      <c r="C12" s="33">
        <v>24</v>
      </c>
      <c r="D12" s="6" t="s">
        <v>239</v>
      </c>
      <c r="E12" s="33">
        <f>AVERAGE(12,12,10,12,12,25,10,10,12,10,12,10,10,10,10,10,10,10,12,10)</f>
        <v>11.45</v>
      </c>
      <c r="F12" s="6" t="s">
        <v>247</v>
      </c>
      <c r="G12" s="33" t="s">
        <v>247</v>
      </c>
      <c r="H12" s="46" t="s">
        <v>247</v>
      </c>
      <c r="I12" s="56" t="s">
        <v>247</v>
      </c>
      <c r="J12" s="46">
        <v>0</v>
      </c>
      <c r="K12" s="67">
        <v>3</v>
      </c>
      <c r="L12" s="67" t="s">
        <v>247</v>
      </c>
      <c r="M12" s="67">
        <v>0</v>
      </c>
      <c r="N12" s="86">
        <v>0</v>
      </c>
      <c r="O12" s="67">
        <v>2</v>
      </c>
      <c r="P12" s="67" t="s">
        <v>247</v>
      </c>
      <c r="Q12" s="67">
        <v>0</v>
      </c>
      <c r="R12" s="86">
        <v>0</v>
      </c>
      <c r="S12" s="67">
        <v>3</v>
      </c>
      <c r="T12" s="67" t="s">
        <v>247</v>
      </c>
      <c r="U12" s="67">
        <v>0</v>
      </c>
      <c r="V12" s="85" t="s">
        <v>247</v>
      </c>
      <c r="W12" s="86">
        <v>1</v>
      </c>
      <c r="X12" s="67">
        <v>2</v>
      </c>
      <c r="Y12" s="67">
        <v>14</v>
      </c>
      <c r="Z12" s="67">
        <v>1</v>
      </c>
      <c r="AA12" s="83">
        <f t="shared" si="2"/>
        <v>18</v>
      </c>
      <c r="AU12" s="15"/>
      <c r="AX12" s="33"/>
    </row>
    <row r="13" spans="1:284" x14ac:dyDescent="0.2">
      <c r="B13" s="13">
        <v>41591</v>
      </c>
      <c r="C13" s="33">
        <v>24</v>
      </c>
      <c r="D13" s="6" t="s">
        <v>240</v>
      </c>
      <c r="F13" s="6" t="s">
        <v>247</v>
      </c>
      <c r="G13" s="33" t="s">
        <v>247</v>
      </c>
      <c r="H13" s="46" t="s">
        <v>247</v>
      </c>
      <c r="I13" s="43" t="s">
        <v>247</v>
      </c>
      <c r="J13" s="46">
        <v>0</v>
      </c>
      <c r="K13" s="67">
        <v>6</v>
      </c>
      <c r="L13" s="67" t="s">
        <v>247</v>
      </c>
      <c r="M13" s="67">
        <v>0</v>
      </c>
      <c r="N13" s="86">
        <v>1</v>
      </c>
      <c r="O13" s="67">
        <v>7</v>
      </c>
      <c r="P13" s="67" t="s">
        <v>247</v>
      </c>
      <c r="Q13" s="67">
        <v>0</v>
      </c>
      <c r="R13" s="86">
        <v>3</v>
      </c>
      <c r="S13" s="67">
        <v>6</v>
      </c>
      <c r="T13" s="67">
        <v>8</v>
      </c>
      <c r="U13" s="67">
        <v>0</v>
      </c>
      <c r="V13" s="85">
        <f t="shared" ref="V13" si="3">SUM(R13:U13)</f>
        <v>17</v>
      </c>
      <c r="W13" s="65">
        <v>5</v>
      </c>
      <c r="X13" s="67">
        <v>10</v>
      </c>
      <c r="Y13" s="67">
        <v>2</v>
      </c>
      <c r="Z13" s="67">
        <v>0</v>
      </c>
      <c r="AA13" s="83">
        <f t="shared" si="2"/>
        <v>17</v>
      </c>
      <c r="AU13" s="15"/>
      <c r="AX13" s="33"/>
    </row>
    <row r="14" spans="1:284" x14ac:dyDescent="0.2">
      <c r="D14" s="16" t="s">
        <v>23</v>
      </c>
      <c r="E14" s="116">
        <f>AVERAGE(E9:E12)</f>
        <v>13.475000000000001</v>
      </c>
      <c r="F14" s="16"/>
      <c r="G14" s="18"/>
      <c r="H14" s="18"/>
      <c r="I14" s="36"/>
      <c r="J14" s="57"/>
      <c r="K14" s="98"/>
      <c r="L14" s="98"/>
      <c r="M14" s="98"/>
      <c r="N14" s="99"/>
      <c r="O14" s="98"/>
      <c r="P14" s="98"/>
      <c r="Q14" s="98"/>
      <c r="R14" s="99"/>
      <c r="S14" s="98"/>
      <c r="T14" s="98"/>
      <c r="U14" s="98"/>
      <c r="V14" s="98">
        <f>AVERAGE(V10:V13)</f>
        <v>17</v>
      </c>
      <c r="W14" s="99"/>
      <c r="X14" s="98"/>
      <c r="Y14" s="98"/>
      <c r="Z14" s="98"/>
      <c r="AA14" s="103">
        <f>AVERAGE(AA9:AA13)</f>
        <v>16.2</v>
      </c>
      <c r="AU14" s="15"/>
      <c r="AX14" s="33"/>
    </row>
    <row r="15" spans="1:284" s="60" customFormat="1" x14ac:dyDescent="0.2">
      <c r="D15" s="64" t="s">
        <v>14</v>
      </c>
      <c r="E15" s="61"/>
      <c r="F15" s="64"/>
      <c r="G15" s="61"/>
      <c r="H15" s="61"/>
      <c r="I15" s="62"/>
      <c r="J15" s="80"/>
      <c r="K15" s="100"/>
      <c r="L15" s="100"/>
      <c r="M15" s="100"/>
      <c r="N15" s="101"/>
      <c r="O15" s="100"/>
      <c r="P15" s="100"/>
      <c r="Q15" s="100"/>
      <c r="R15" s="101"/>
      <c r="S15" s="100"/>
      <c r="T15" s="100"/>
      <c r="U15" s="100"/>
      <c r="V15" s="102">
        <f>SUM(V10:V13)</f>
        <v>17</v>
      </c>
      <c r="W15" s="100"/>
      <c r="X15" s="100"/>
      <c r="Y15" s="100"/>
      <c r="Z15" s="100"/>
      <c r="AA15" s="102">
        <f>SUM(AA9:AA13)</f>
        <v>81</v>
      </c>
    </row>
    <row r="16" spans="1:284" x14ac:dyDescent="0.2">
      <c r="A16" s="15"/>
      <c r="B16" s="15"/>
      <c r="C16" s="15"/>
      <c r="D16" s="11" t="s">
        <v>33</v>
      </c>
      <c r="E16" s="15"/>
      <c r="F16" s="6"/>
      <c r="G16" s="15"/>
      <c r="H16" s="15"/>
      <c r="I16" s="43"/>
      <c r="J16" s="15"/>
      <c r="K16" s="82"/>
      <c r="L16" s="82"/>
      <c r="M16" s="82"/>
      <c r="N16" s="86"/>
      <c r="O16" s="82"/>
      <c r="P16" s="82"/>
      <c r="Q16" s="82"/>
      <c r="R16" s="86"/>
      <c r="S16" s="82"/>
      <c r="T16" s="82"/>
      <c r="U16" s="82"/>
      <c r="V16" s="83"/>
      <c r="W16" s="86"/>
      <c r="X16" s="82"/>
      <c r="Y16" s="82"/>
      <c r="Z16" s="82"/>
      <c r="AA16" s="83"/>
      <c r="AB16" s="15"/>
      <c r="AU16" s="15"/>
      <c r="AX16" s="33"/>
    </row>
    <row r="17" spans="2:50" x14ac:dyDescent="0.2">
      <c r="B17" s="13">
        <v>41668</v>
      </c>
      <c r="C17" s="33">
        <v>48</v>
      </c>
      <c r="D17" s="6" t="s">
        <v>232</v>
      </c>
      <c r="E17" s="33">
        <f>AVERAGE(10,10,10,10,12,12,10,10,8,8,15,10,10,8,8,10,10,6,10,12,12)</f>
        <v>10.047619047619047</v>
      </c>
      <c r="F17" s="6" t="s">
        <v>247</v>
      </c>
      <c r="G17" s="33" t="s">
        <v>247</v>
      </c>
      <c r="H17" s="46" t="s">
        <v>247</v>
      </c>
      <c r="I17" s="56" t="s">
        <v>247</v>
      </c>
      <c r="J17" s="15">
        <v>0</v>
      </c>
      <c r="K17" s="67">
        <v>6</v>
      </c>
      <c r="L17" s="67" t="s">
        <v>247</v>
      </c>
      <c r="M17" s="67">
        <v>0</v>
      </c>
      <c r="N17" s="86">
        <v>2</v>
      </c>
      <c r="O17" s="67">
        <v>4</v>
      </c>
      <c r="P17" s="67" t="s">
        <v>247</v>
      </c>
      <c r="Q17" s="67">
        <v>0</v>
      </c>
      <c r="R17" s="86">
        <v>8</v>
      </c>
      <c r="S17" s="67">
        <v>4</v>
      </c>
      <c r="T17" s="67" t="s">
        <v>247</v>
      </c>
      <c r="U17" s="67">
        <v>0</v>
      </c>
      <c r="V17" s="85" t="s">
        <v>247</v>
      </c>
      <c r="W17" s="86">
        <v>7</v>
      </c>
      <c r="X17" s="67">
        <v>3</v>
      </c>
      <c r="Y17" s="67">
        <v>10</v>
      </c>
      <c r="Z17" s="67">
        <v>0</v>
      </c>
      <c r="AA17" s="83">
        <f t="shared" ref="AA17:AA23" si="4">SUM(W17:Z17)</f>
        <v>20</v>
      </c>
      <c r="AU17" s="15"/>
      <c r="AX17" s="33"/>
    </row>
    <row r="18" spans="2:50" x14ac:dyDescent="0.2">
      <c r="B18" s="13">
        <v>41668</v>
      </c>
      <c r="C18" s="33">
        <v>48</v>
      </c>
      <c r="D18" s="6" t="s">
        <v>233</v>
      </c>
      <c r="E18" s="33">
        <f>AVERAGE(10,12,8,10,10,15,15,20,20,10,10,10,10,22,12,10,15,15,10,10)</f>
        <v>12.7</v>
      </c>
      <c r="F18" s="6" t="s">
        <v>247</v>
      </c>
      <c r="G18" s="33" t="s">
        <v>247</v>
      </c>
      <c r="H18" s="46" t="s">
        <v>247</v>
      </c>
      <c r="I18" s="56" t="s">
        <v>247</v>
      </c>
      <c r="J18" s="15">
        <v>0</v>
      </c>
      <c r="K18" s="67">
        <v>5</v>
      </c>
      <c r="L18" s="67" t="s">
        <v>247</v>
      </c>
      <c r="M18" s="67">
        <v>0</v>
      </c>
      <c r="N18" s="86">
        <v>1</v>
      </c>
      <c r="O18" s="67">
        <v>2</v>
      </c>
      <c r="P18" s="67" t="s">
        <v>247</v>
      </c>
      <c r="Q18" s="67">
        <v>0</v>
      </c>
      <c r="R18" s="86">
        <v>1</v>
      </c>
      <c r="S18" s="67">
        <v>4</v>
      </c>
      <c r="T18" s="67" t="s">
        <v>247</v>
      </c>
      <c r="U18" s="67">
        <v>0</v>
      </c>
      <c r="V18" s="85" t="s">
        <v>247</v>
      </c>
      <c r="W18" s="86">
        <v>2</v>
      </c>
      <c r="X18" s="67">
        <v>2</v>
      </c>
      <c r="Y18" s="67">
        <v>12</v>
      </c>
      <c r="Z18" s="67">
        <v>0</v>
      </c>
      <c r="AA18" s="83">
        <f t="shared" si="4"/>
        <v>16</v>
      </c>
      <c r="AU18" s="15"/>
      <c r="AX18" s="33"/>
    </row>
    <row r="19" spans="2:50" x14ac:dyDescent="0.2">
      <c r="B19" s="13">
        <v>41668</v>
      </c>
      <c r="C19" s="33">
        <v>48</v>
      </c>
      <c r="D19" s="6" t="s">
        <v>234</v>
      </c>
      <c r="E19" s="33">
        <f>AVERAGE(10,10,15,22,22,15,12,15,15,10,18,15,12,10,25,25,12,12,15,15)</f>
        <v>15.25</v>
      </c>
      <c r="F19" s="6" t="s">
        <v>247</v>
      </c>
      <c r="G19" s="33" t="s">
        <v>247</v>
      </c>
      <c r="H19" s="46" t="s">
        <v>247</v>
      </c>
      <c r="I19" s="56" t="s">
        <v>247</v>
      </c>
      <c r="J19" s="15">
        <v>0</v>
      </c>
      <c r="K19" s="67">
        <v>2</v>
      </c>
      <c r="L19" s="67" t="s">
        <v>247</v>
      </c>
      <c r="M19" s="67">
        <v>0</v>
      </c>
      <c r="N19" s="86">
        <v>0</v>
      </c>
      <c r="O19" s="67">
        <v>2</v>
      </c>
      <c r="P19" s="67" t="s">
        <v>247</v>
      </c>
      <c r="Q19" s="67">
        <v>0</v>
      </c>
      <c r="R19" s="86">
        <v>1</v>
      </c>
      <c r="S19" s="67">
        <v>2</v>
      </c>
      <c r="T19" s="67" t="s">
        <v>247</v>
      </c>
      <c r="U19" s="67">
        <v>0</v>
      </c>
      <c r="V19" s="85" t="s">
        <v>247</v>
      </c>
      <c r="W19" s="86">
        <v>0</v>
      </c>
      <c r="X19" s="67">
        <v>7</v>
      </c>
      <c r="Y19" s="67">
        <v>8</v>
      </c>
      <c r="Z19" s="67">
        <v>0</v>
      </c>
      <c r="AA19" s="83">
        <f t="shared" si="4"/>
        <v>15</v>
      </c>
      <c r="AU19" s="15"/>
      <c r="AX19" s="33"/>
    </row>
    <row r="20" spans="2:50" x14ac:dyDescent="0.2">
      <c r="B20" s="13">
        <v>41668</v>
      </c>
      <c r="C20" s="33">
        <v>48</v>
      </c>
      <c r="D20" s="6" t="s">
        <v>235</v>
      </c>
      <c r="E20" s="33">
        <f>AVERAGE(15,12,20,25,25,10,10,18,18,25,25,25,12,15,18,15,10,15,15,10)</f>
        <v>16.899999999999999</v>
      </c>
      <c r="F20" s="6" t="s">
        <v>247</v>
      </c>
      <c r="G20" s="33" t="s">
        <v>247</v>
      </c>
      <c r="H20" s="46" t="s">
        <v>247</v>
      </c>
      <c r="I20" s="43" t="s">
        <v>247</v>
      </c>
      <c r="J20" s="46">
        <v>0</v>
      </c>
      <c r="K20" s="67">
        <v>3</v>
      </c>
      <c r="L20" s="67" t="s">
        <v>247</v>
      </c>
      <c r="M20" s="67">
        <v>0</v>
      </c>
      <c r="N20" s="86">
        <v>0</v>
      </c>
      <c r="O20" s="67">
        <v>3</v>
      </c>
      <c r="P20" s="67" t="s">
        <v>247</v>
      </c>
      <c r="Q20" s="67">
        <v>0</v>
      </c>
      <c r="R20" s="86">
        <v>1</v>
      </c>
      <c r="S20" s="67">
        <v>1</v>
      </c>
      <c r="T20" s="67" t="s">
        <v>247</v>
      </c>
      <c r="U20" s="67">
        <v>0</v>
      </c>
      <c r="V20" s="85" t="s">
        <v>247</v>
      </c>
      <c r="W20" s="86">
        <v>1</v>
      </c>
      <c r="X20" s="67">
        <v>6</v>
      </c>
      <c r="Y20" s="67">
        <v>11</v>
      </c>
      <c r="Z20" s="67">
        <v>0</v>
      </c>
      <c r="AA20" s="83">
        <f t="shared" si="4"/>
        <v>18</v>
      </c>
      <c r="AU20" s="15"/>
      <c r="AX20" s="33"/>
    </row>
    <row r="21" spans="2:50" x14ac:dyDescent="0.2">
      <c r="B21" s="13">
        <v>41808</v>
      </c>
      <c r="C21" s="33">
        <v>48</v>
      </c>
      <c r="D21" s="6" t="s">
        <v>244</v>
      </c>
      <c r="E21" s="33">
        <f>AVERAGE(15,15,20,30,30,20,25,15,20,15,25,30,20,18,20,8,12,5,10,28)</f>
        <v>19.05</v>
      </c>
      <c r="F21" s="55" t="s">
        <v>247</v>
      </c>
      <c r="G21" s="54" t="s">
        <v>247</v>
      </c>
      <c r="H21" s="46" t="s">
        <v>247</v>
      </c>
      <c r="I21" s="56" t="s">
        <v>247</v>
      </c>
      <c r="J21" s="46">
        <v>0</v>
      </c>
      <c r="K21" s="66">
        <v>1</v>
      </c>
      <c r="L21" s="66">
        <v>16</v>
      </c>
      <c r="M21" s="67">
        <v>0</v>
      </c>
      <c r="N21" s="65">
        <v>2</v>
      </c>
      <c r="O21" s="67">
        <v>1</v>
      </c>
      <c r="P21" s="67">
        <v>14</v>
      </c>
      <c r="Q21" s="67">
        <v>0</v>
      </c>
      <c r="R21" s="65">
        <v>2</v>
      </c>
      <c r="S21" s="67">
        <v>2</v>
      </c>
      <c r="T21" s="67">
        <v>13</v>
      </c>
      <c r="U21" s="67">
        <v>0</v>
      </c>
      <c r="V21" s="66">
        <f>SUM(R21:U21)</f>
        <v>17</v>
      </c>
      <c r="W21" s="65">
        <v>1</v>
      </c>
      <c r="X21" s="67">
        <v>1</v>
      </c>
      <c r="Y21" s="67">
        <v>13</v>
      </c>
      <c r="Z21" s="67">
        <v>0</v>
      </c>
      <c r="AA21" s="79">
        <f t="shared" si="4"/>
        <v>15</v>
      </c>
      <c r="AC21" s="15"/>
      <c r="AD21" s="15"/>
      <c r="AE21" s="15"/>
      <c r="AF21" s="15"/>
      <c r="AG21" s="15"/>
      <c r="AH21" s="15"/>
      <c r="AI21" s="15"/>
      <c r="AJ21" s="15"/>
      <c r="AK21" s="15"/>
      <c r="AL21" s="15"/>
      <c r="AM21" s="15"/>
      <c r="AN21" s="15"/>
      <c r="AO21" s="15"/>
      <c r="AP21" s="15"/>
      <c r="AQ21" s="15"/>
      <c r="AR21" s="15"/>
      <c r="AS21" s="15"/>
      <c r="AT21" s="15"/>
      <c r="AU21" s="15"/>
      <c r="AX21" s="33"/>
    </row>
    <row r="22" spans="2:50" x14ac:dyDescent="0.2">
      <c r="B22" s="13">
        <v>41808</v>
      </c>
      <c r="C22" s="33">
        <v>48</v>
      </c>
      <c r="D22" s="6" t="s">
        <v>245</v>
      </c>
      <c r="E22" s="33">
        <f>AVERAGE(12,10,20,20,45,45,18,20,10,18,18,20,10,15,8,12,14,18,15,15)</f>
        <v>18.149999999999999</v>
      </c>
      <c r="F22" s="6" t="s">
        <v>247</v>
      </c>
      <c r="G22" s="54" t="s">
        <v>247</v>
      </c>
      <c r="H22" s="46" t="s">
        <v>247</v>
      </c>
      <c r="I22" s="43" t="s">
        <v>247</v>
      </c>
      <c r="J22" s="15">
        <v>0</v>
      </c>
      <c r="K22" s="82">
        <v>2</v>
      </c>
      <c r="L22" s="82">
        <v>17</v>
      </c>
      <c r="M22" s="67">
        <v>0</v>
      </c>
      <c r="N22" s="86">
        <v>3</v>
      </c>
      <c r="O22" s="67">
        <v>4</v>
      </c>
      <c r="P22" s="67">
        <v>12</v>
      </c>
      <c r="Q22" s="67">
        <v>0</v>
      </c>
      <c r="R22" s="86">
        <v>5</v>
      </c>
      <c r="S22" s="67">
        <v>2</v>
      </c>
      <c r="T22" s="67">
        <v>12</v>
      </c>
      <c r="U22" s="67">
        <v>0</v>
      </c>
      <c r="V22" s="85">
        <f t="shared" ref="V22:V23" si="5">SUM(R22:U22)</f>
        <v>19</v>
      </c>
      <c r="W22" s="86">
        <v>6</v>
      </c>
      <c r="X22" s="67">
        <v>1</v>
      </c>
      <c r="Y22" s="67">
        <v>12</v>
      </c>
      <c r="Z22" s="67">
        <v>0</v>
      </c>
      <c r="AA22" s="83">
        <f t="shared" si="4"/>
        <v>19</v>
      </c>
      <c r="AC22" s="15"/>
      <c r="AD22" s="15"/>
      <c r="AE22" s="15"/>
      <c r="AF22" s="15"/>
      <c r="AG22" s="15"/>
      <c r="AH22" s="15"/>
      <c r="AI22" s="15"/>
      <c r="AJ22" s="15"/>
      <c r="AK22" s="15"/>
      <c r="AL22" s="15"/>
      <c r="AM22" s="15"/>
      <c r="AN22" s="15"/>
      <c r="AO22" s="15"/>
      <c r="AP22" s="15"/>
      <c r="AQ22" s="15"/>
      <c r="AR22" s="15"/>
      <c r="AS22" s="15"/>
      <c r="AT22" s="15"/>
      <c r="AU22" s="15"/>
      <c r="AX22" s="33"/>
    </row>
    <row r="23" spans="2:50" x14ac:dyDescent="0.2">
      <c r="B23" s="13">
        <v>41808</v>
      </c>
      <c r="C23" s="33">
        <v>48</v>
      </c>
      <c r="D23" s="6" t="s">
        <v>246</v>
      </c>
      <c r="E23" s="33">
        <f>AVERAGE(24,24,24,40,20,18,15,20,20,25,18,12,12,10,18,15,12,5,14,25)</f>
        <v>18.55</v>
      </c>
      <c r="F23" s="6" t="s">
        <v>247</v>
      </c>
      <c r="G23" s="54" t="s">
        <v>247</v>
      </c>
      <c r="H23" s="46" t="s">
        <v>247</v>
      </c>
      <c r="I23" s="43" t="s">
        <v>247</v>
      </c>
      <c r="J23" s="15">
        <v>0</v>
      </c>
      <c r="K23" s="15">
        <v>1</v>
      </c>
      <c r="L23" s="15">
        <v>14</v>
      </c>
      <c r="M23" s="46">
        <v>0</v>
      </c>
      <c r="N23" s="6">
        <v>1</v>
      </c>
      <c r="O23" s="46">
        <v>1</v>
      </c>
      <c r="P23" s="46">
        <v>13</v>
      </c>
      <c r="Q23" s="46">
        <v>0</v>
      </c>
      <c r="R23" s="6">
        <v>2</v>
      </c>
      <c r="S23" s="46">
        <v>5</v>
      </c>
      <c r="T23" s="46">
        <v>9</v>
      </c>
      <c r="U23" s="46">
        <v>0</v>
      </c>
      <c r="V23" s="85">
        <f t="shared" si="5"/>
        <v>16</v>
      </c>
      <c r="W23" s="86">
        <v>4</v>
      </c>
      <c r="X23" s="67">
        <v>1</v>
      </c>
      <c r="Y23" s="67">
        <v>10</v>
      </c>
      <c r="Z23" s="67">
        <v>0</v>
      </c>
      <c r="AA23" s="83">
        <f t="shared" si="4"/>
        <v>15</v>
      </c>
      <c r="AC23" s="15"/>
      <c r="AD23" s="15"/>
      <c r="AE23" s="15"/>
      <c r="AF23" s="15"/>
      <c r="AG23" s="15"/>
      <c r="AH23" s="15"/>
      <c r="AI23" s="15"/>
      <c r="AJ23" s="15"/>
      <c r="AK23" s="15"/>
      <c r="AL23" s="15"/>
      <c r="AM23" s="15"/>
      <c r="AN23" s="15"/>
      <c r="AO23" s="15"/>
      <c r="AP23" s="15"/>
      <c r="AQ23" s="15"/>
      <c r="AR23" s="15"/>
      <c r="AS23" s="15"/>
      <c r="AT23" s="15"/>
      <c r="AU23" s="15"/>
      <c r="AX23" s="33"/>
    </row>
    <row r="24" spans="2:50" x14ac:dyDescent="0.2">
      <c r="D24" s="16" t="s">
        <v>23</v>
      </c>
      <c r="E24" s="17">
        <f>AVERAGE(E17:E23)</f>
        <v>15.806802721088435</v>
      </c>
      <c r="F24" s="16"/>
      <c r="G24" s="18"/>
      <c r="H24" s="18"/>
      <c r="I24" s="36"/>
      <c r="J24" s="57"/>
      <c r="K24" s="18"/>
      <c r="L24" s="18"/>
      <c r="M24" s="18"/>
      <c r="N24" s="16"/>
      <c r="O24" s="18"/>
      <c r="P24" s="18"/>
      <c r="Q24" s="18"/>
      <c r="R24" s="16"/>
      <c r="S24" s="18"/>
      <c r="T24" s="18"/>
      <c r="U24" s="18"/>
      <c r="V24" s="98">
        <f>AVERAGE(V21:V23)</f>
        <v>17.333333333333332</v>
      </c>
      <c r="W24" s="99"/>
      <c r="X24" s="98"/>
      <c r="Y24" s="98"/>
      <c r="Z24" s="98"/>
      <c r="AA24" s="103">
        <f>AVERAGE(AA17:AA23)</f>
        <v>16.857142857142858</v>
      </c>
      <c r="AC24" s="15"/>
      <c r="AD24" s="15"/>
      <c r="AE24" s="15"/>
      <c r="AF24" s="15"/>
      <c r="AG24" s="15"/>
      <c r="AH24" s="15"/>
      <c r="AI24" s="15"/>
      <c r="AJ24" s="15"/>
      <c r="AK24" s="15"/>
      <c r="AL24" s="15"/>
      <c r="AM24" s="15"/>
      <c r="AN24" s="15"/>
      <c r="AO24" s="15"/>
      <c r="AP24" s="15"/>
      <c r="AQ24" s="15"/>
      <c r="AR24" s="15"/>
      <c r="AS24" s="15"/>
      <c r="AT24" s="15"/>
      <c r="AU24" s="15"/>
      <c r="AX24" s="33"/>
    </row>
    <row r="25" spans="2:50" s="60" customFormat="1" x14ac:dyDescent="0.2">
      <c r="D25" s="64" t="s">
        <v>14</v>
      </c>
      <c r="E25" s="61"/>
      <c r="F25" s="64"/>
      <c r="G25" s="61"/>
      <c r="H25" s="61"/>
      <c r="I25" s="62"/>
      <c r="J25" s="80"/>
      <c r="K25" s="61"/>
      <c r="L25" s="61"/>
      <c r="M25" s="61"/>
      <c r="N25" s="64"/>
      <c r="O25" s="61"/>
      <c r="P25" s="61"/>
      <c r="Q25" s="61"/>
      <c r="R25" s="64"/>
      <c r="S25" s="61"/>
      <c r="T25" s="61"/>
      <c r="U25" s="61"/>
      <c r="V25" s="102">
        <f>SUM(V21:V23)</f>
        <v>52</v>
      </c>
      <c r="W25" s="100"/>
      <c r="X25" s="100"/>
      <c r="Y25" s="100"/>
      <c r="Z25" s="100"/>
      <c r="AA25" s="102">
        <f>SUM(AA17:AA23)</f>
        <v>118</v>
      </c>
    </row>
    <row r="26" spans="2:50" x14ac:dyDescent="0.2">
      <c r="D26" s="33"/>
      <c r="U26" s="15"/>
      <c r="AX26" s="33"/>
    </row>
    <row r="27" spans="2:50" x14ac:dyDescent="0.2">
      <c r="D27" s="33"/>
      <c r="U27" s="15"/>
      <c r="AX27" s="33"/>
    </row>
    <row r="28" spans="2:50" x14ac:dyDescent="0.2">
      <c r="D28" s="33"/>
      <c r="U28" s="15"/>
      <c r="AX28" s="33"/>
    </row>
    <row r="29" spans="2:50" x14ac:dyDescent="0.2">
      <c r="D29" s="33"/>
      <c r="U29" s="15"/>
      <c r="AX29" s="33"/>
    </row>
    <row r="30" spans="2:50" x14ac:dyDescent="0.2">
      <c r="D30" s="33"/>
      <c r="U30" s="15"/>
      <c r="AX30" s="33"/>
    </row>
    <row r="31" spans="2:50" x14ac:dyDescent="0.2">
      <c r="D31" s="33"/>
      <c r="U31" s="15"/>
      <c r="AX31" s="33"/>
    </row>
    <row r="32" spans="2:50" x14ac:dyDescent="0.2">
      <c r="D32" s="33"/>
      <c r="U32" s="15"/>
      <c r="AX32" s="33"/>
    </row>
    <row r="33" spans="4:50" x14ac:dyDescent="0.2">
      <c r="D33" s="33"/>
      <c r="U33" s="15"/>
      <c r="AX33" s="33"/>
    </row>
    <row r="34" spans="4:50" x14ac:dyDescent="0.2">
      <c r="D34" s="33"/>
      <c r="U34" s="15"/>
      <c r="AX34" s="33"/>
    </row>
    <row r="35" spans="4:50" x14ac:dyDescent="0.2">
      <c r="D35" s="33"/>
      <c r="U35" s="15"/>
      <c r="AX35" s="33"/>
    </row>
    <row r="36" spans="4:50" x14ac:dyDescent="0.2">
      <c r="D36" s="33"/>
      <c r="U36" s="15"/>
      <c r="AX36" s="33"/>
    </row>
    <row r="37" spans="4:50" x14ac:dyDescent="0.2">
      <c r="D37" s="33"/>
      <c r="U37" s="15"/>
      <c r="AX37" s="33"/>
    </row>
    <row r="38" spans="4:50" x14ac:dyDescent="0.2">
      <c r="D38" s="33"/>
      <c r="U38" s="15"/>
      <c r="AX38" s="33"/>
    </row>
    <row r="39" spans="4:50" x14ac:dyDescent="0.2">
      <c r="D39" s="33"/>
      <c r="U39" s="15"/>
      <c r="AX39" s="33"/>
    </row>
    <row r="40" spans="4:50" x14ac:dyDescent="0.2">
      <c r="D40" s="33"/>
      <c r="U40" s="15"/>
      <c r="AX40" s="33"/>
    </row>
    <row r="41" spans="4:50" x14ac:dyDescent="0.2">
      <c r="D41" s="33"/>
      <c r="U41" s="15"/>
      <c r="AX41" s="33"/>
    </row>
    <row r="42" spans="4:50" x14ac:dyDescent="0.2">
      <c r="D42" s="33"/>
      <c r="U42" s="15"/>
      <c r="AX42" s="33"/>
    </row>
    <row r="43" spans="4:50" x14ac:dyDescent="0.2">
      <c r="D43" s="33"/>
      <c r="U43" s="15"/>
      <c r="AX43" s="33"/>
    </row>
    <row r="44" spans="4:50" x14ac:dyDescent="0.2">
      <c r="D44" s="33"/>
      <c r="U44" s="15"/>
      <c r="AX44" s="33"/>
    </row>
    <row r="45" spans="4:50" x14ac:dyDescent="0.2">
      <c r="D45" s="33"/>
      <c r="U45" s="15"/>
      <c r="AX45" s="33"/>
    </row>
    <row r="46" spans="4:50" x14ac:dyDescent="0.2">
      <c r="D46" s="33"/>
      <c r="U46" s="15"/>
      <c r="AX46" s="33"/>
    </row>
    <row r="47" spans="4:50" x14ac:dyDescent="0.2">
      <c r="D47" s="33"/>
      <c r="U47" s="15"/>
      <c r="AX47" s="33"/>
    </row>
    <row r="48" spans="4:50" x14ac:dyDescent="0.2">
      <c r="D48" s="33"/>
      <c r="U48" s="15"/>
      <c r="AX48" s="33"/>
    </row>
    <row r="49" spans="4:50" x14ac:dyDescent="0.2">
      <c r="D49" s="33"/>
      <c r="U49" s="15"/>
      <c r="AX49" s="33"/>
    </row>
    <row r="50" spans="4:50" x14ac:dyDescent="0.2">
      <c r="D50" s="33"/>
      <c r="U50" s="15"/>
      <c r="AX50" s="33"/>
    </row>
    <row r="51" spans="4:50" x14ac:dyDescent="0.2">
      <c r="D51" s="33"/>
      <c r="U51" s="15"/>
      <c r="AX51" s="33"/>
    </row>
    <row r="52" spans="4:50" x14ac:dyDescent="0.2">
      <c r="D52" s="33"/>
      <c r="U52" s="15"/>
      <c r="AX52" s="33"/>
    </row>
    <row r="53" spans="4:50" x14ac:dyDescent="0.2">
      <c r="D53" s="33"/>
      <c r="U53" s="15"/>
      <c r="AX53" s="33"/>
    </row>
    <row r="54" spans="4:50" x14ac:dyDescent="0.2">
      <c r="D54" s="33"/>
      <c r="U54" s="15"/>
      <c r="AX54" s="33"/>
    </row>
    <row r="55" spans="4:50" x14ac:dyDescent="0.2">
      <c r="D55" s="33"/>
      <c r="U55" s="15"/>
      <c r="AX55" s="33"/>
    </row>
    <row r="56" spans="4:50" x14ac:dyDescent="0.2">
      <c r="D56" s="33"/>
      <c r="U56" s="15"/>
      <c r="AX56" s="33"/>
    </row>
    <row r="57" spans="4:50" x14ac:dyDescent="0.2">
      <c r="D57" s="33"/>
      <c r="U57" s="15"/>
      <c r="AX57" s="33"/>
    </row>
    <row r="58" spans="4:50" x14ac:dyDescent="0.2">
      <c r="D58" s="33"/>
      <c r="U58" s="15"/>
      <c r="AX58" s="33"/>
    </row>
    <row r="59" spans="4:50" x14ac:dyDescent="0.2">
      <c r="D59" s="33"/>
      <c r="U59" s="15"/>
      <c r="AX59" s="33"/>
    </row>
    <row r="60" spans="4:50" x14ac:dyDescent="0.2">
      <c r="D60" s="33"/>
      <c r="U60" s="15"/>
      <c r="AX60" s="33"/>
    </row>
    <row r="61" spans="4:50" x14ac:dyDescent="0.2">
      <c r="D61" s="33"/>
      <c r="U61" s="15"/>
      <c r="AX61" s="33"/>
    </row>
    <row r="62" spans="4:50" x14ac:dyDescent="0.2">
      <c r="D62" s="33"/>
      <c r="U62" s="15"/>
      <c r="AX62" s="33"/>
    </row>
    <row r="63" spans="4:50" x14ac:dyDescent="0.2">
      <c r="D63" s="33"/>
      <c r="U63" s="15"/>
      <c r="AX63" s="33"/>
    </row>
    <row r="64" spans="4:50" x14ac:dyDescent="0.2">
      <c r="D64" s="33"/>
      <c r="U64" s="15"/>
      <c r="AX64" s="33"/>
    </row>
    <row r="65" spans="4:50" x14ac:dyDescent="0.2">
      <c r="D65" s="33"/>
      <c r="U65" s="15"/>
      <c r="AX65" s="33"/>
    </row>
    <row r="66" spans="4:50" x14ac:dyDescent="0.2">
      <c r="D66" s="33"/>
      <c r="U66" s="15"/>
      <c r="AX66" s="33"/>
    </row>
    <row r="67" spans="4:50" x14ac:dyDescent="0.2">
      <c r="D67" s="33"/>
      <c r="U67" s="15"/>
      <c r="AX67" s="33"/>
    </row>
    <row r="68" spans="4:50" x14ac:dyDescent="0.2">
      <c r="D68" s="33"/>
      <c r="U68" s="15"/>
      <c r="AX68" s="33"/>
    </row>
    <row r="69" spans="4:50" x14ac:dyDescent="0.2">
      <c r="D69" s="33"/>
      <c r="U69" s="15"/>
      <c r="AX69" s="33"/>
    </row>
    <row r="70" spans="4:50" x14ac:dyDescent="0.2">
      <c r="D70" s="33"/>
      <c r="U70" s="15"/>
      <c r="AX70" s="33"/>
    </row>
    <row r="71" spans="4:50" x14ac:dyDescent="0.2">
      <c r="D71" s="33"/>
      <c r="U71" s="15"/>
      <c r="AX71" s="33"/>
    </row>
    <row r="72" spans="4:50" x14ac:dyDescent="0.2">
      <c r="D72" s="33"/>
      <c r="U72" s="15"/>
      <c r="AX72" s="33"/>
    </row>
    <row r="73" spans="4:50" x14ac:dyDescent="0.2">
      <c r="D73" s="33"/>
      <c r="U73" s="15"/>
      <c r="AX73" s="33"/>
    </row>
    <row r="74" spans="4:50" x14ac:dyDescent="0.2">
      <c r="D74" s="33"/>
      <c r="U74" s="15"/>
      <c r="AX74" s="33"/>
    </row>
    <row r="75" spans="4:50" x14ac:dyDescent="0.2">
      <c r="D75" s="33"/>
      <c r="U75" s="15"/>
      <c r="AX75" s="33"/>
    </row>
    <row r="76" spans="4:50" x14ac:dyDescent="0.2">
      <c r="D76" s="33"/>
      <c r="U76" s="15"/>
      <c r="AX76" s="33"/>
    </row>
    <row r="77" spans="4:50" x14ac:dyDescent="0.2">
      <c r="D77" s="33"/>
      <c r="U77" s="15"/>
      <c r="AX77" s="33"/>
    </row>
    <row r="78" spans="4:50" x14ac:dyDescent="0.2">
      <c r="D78" s="33"/>
      <c r="U78" s="15"/>
      <c r="AX78" s="33"/>
    </row>
    <row r="79" spans="4:50" x14ac:dyDescent="0.2">
      <c r="D79" s="33"/>
      <c r="U79" s="15"/>
      <c r="AX79" s="33"/>
    </row>
    <row r="80" spans="4:50" x14ac:dyDescent="0.2">
      <c r="D80" s="33"/>
      <c r="U80" s="15"/>
      <c r="AX80" s="33"/>
    </row>
    <row r="81" spans="4:50" x14ac:dyDescent="0.2">
      <c r="D81" s="33"/>
      <c r="U81" s="15"/>
      <c r="AX81" s="33"/>
    </row>
    <row r="82" spans="4:50" x14ac:dyDescent="0.2">
      <c r="D82" s="33"/>
      <c r="U82" s="15"/>
      <c r="AX82" s="33"/>
    </row>
    <row r="83" spans="4:50" x14ac:dyDescent="0.2">
      <c r="D83" s="33"/>
      <c r="U83" s="15"/>
      <c r="AX83" s="33"/>
    </row>
    <row r="84" spans="4:50" x14ac:dyDescent="0.2">
      <c r="D84" s="33"/>
      <c r="U84" s="15"/>
      <c r="AX84" s="33"/>
    </row>
    <row r="85" spans="4:50" x14ac:dyDescent="0.2">
      <c r="D85" s="33"/>
      <c r="U85" s="15"/>
      <c r="AX85" s="33"/>
    </row>
    <row r="86" spans="4:50" x14ac:dyDescent="0.2">
      <c r="D86" s="33"/>
      <c r="U86" s="15"/>
      <c r="AX86" s="33"/>
    </row>
    <row r="87" spans="4:50" x14ac:dyDescent="0.2">
      <c r="D87" s="33"/>
      <c r="U87" s="15"/>
      <c r="AX87" s="33"/>
    </row>
    <row r="88" spans="4:50" x14ac:dyDescent="0.2">
      <c r="D88" s="33"/>
      <c r="U88" s="15"/>
      <c r="AX88" s="33"/>
    </row>
    <row r="89" spans="4:50" x14ac:dyDescent="0.2">
      <c r="D89" s="33"/>
      <c r="U89" s="15"/>
      <c r="AX89" s="33"/>
    </row>
    <row r="90" spans="4:50" x14ac:dyDescent="0.2">
      <c r="D90" s="33"/>
      <c r="U90" s="15"/>
      <c r="AX90" s="33"/>
    </row>
    <row r="91" spans="4:50" x14ac:dyDescent="0.2">
      <c r="D91" s="33"/>
      <c r="U91" s="15"/>
      <c r="AX91" s="33"/>
    </row>
    <row r="92" spans="4:50" x14ac:dyDescent="0.2">
      <c r="D92" s="33"/>
      <c r="U92" s="15"/>
      <c r="AX92" s="33"/>
    </row>
    <row r="93" spans="4:50" x14ac:dyDescent="0.2">
      <c r="D93" s="33"/>
      <c r="U93" s="15"/>
      <c r="AX93" s="33"/>
    </row>
    <row r="94" spans="4:50" x14ac:dyDescent="0.2">
      <c r="D94" s="33"/>
      <c r="U94" s="15"/>
      <c r="AX94" s="33"/>
    </row>
    <row r="95" spans="4:50" x14ac:dyDescent="0.2">
      <c r="D95" s="33"/>
      <c r="U95" s="15"/>
      <c r="AX95" s="33"/>
    </row>
    <row r="96" spans="4:50" x14ac:dyDescent="0.2">
      <c r="D96" s="33"/>
      <c r="U96" s="15"/>
      <c r="AX96" s="33"/>
    </row>
    <row r="97" spans="4:50" x14ac:dyDescent="0.2">
      <c r="D97" s="33"/>
      <c r="U97" s="15"/>
      <c r="AX97" s="33"/>
    </row>
    <row r="98" spans="4:50" x14ac:dyDescent="0.2">
      <c r="D98" s="33"/>
      <c r="U98" s="15"/>
      <c r="AX98" s="33"/>
    </row>
    <row r="99" spans="4:50" x14ac:dyDescent="0.2">
      <c r="D99" s="33"/>
      <c r="U99" s="15"/>
      <c r="AX99" s="33"/>
    </row>
    <row r="100" spans="4:50" x14ac:dyDescent="0.2">
      <c r="D100" s="33"/>
      <c r="U100" s="15"/>
      <c r="AX100" s="33"/>
    </row>
    <row r="101" spans="4:50" x14ac:dyDescent="0.2">
      <c r="D101" s="33"/>
      <c r="U101" s="15"/>
      <c r="AX101" s="33"/>
    </row>
    <row r="102" spans="4:50" x14ac:dyDescent="0.2">
      <c r="D102" s="33"/>
      <c r="U102" s="15"/>
      <c r="AX102" s="33"/>
    </row>
    <row r="103" spans="4:50" x14ac:dyDescent="0.2">
      <c r="D103" s="33"/>
      <c r="U103" s="15"/>
      <c r="AX103" s="33"/>
    </row>
    <row r="104" spans="4:50" x14ac:dyDescent="0.2">
      <c r="D104" s="33"/>
      <c r="U104" s="15"/>
      <c r="AX104" s="33"/>
    </row>
    <row r="105" spans="4:50" x14ac:dyDescent="0.2">
      <c r="D105" s="33"/>
      <c r="U105" s="15"/>
      <c r="AX105" s="33"/>
    </row>
    <row r="106" spans="4:50" x14ac:dyDescent="0.2">
      <c r="D106" s="33"/>
      <c r="U106" s="15"/>
      <c r="AX106" s="33"/>
    </row>
    <row r="107" spans="4:50" x14ac:dyDescent="0.2">
      <c r="D107" s="33"/>
      <c r="U107" s="15"/>
      <c r="AX107" s="33"/>
    </row>
    <row r="108" spans="4:50" x14ac:dyDescent="0.2">
      <c r="D108" s="33"/>
      <c r="U108" s="15"/>
      <c r="AX108" s="33"/>
    </row>
    <row r="109" spans="4:50" x14ac:dyDescent="0.2">
      <c r="D109" s="33"/>
      <c r="U109" s="15"/>
      <c r="AX109" s="33"/>
    </row>
    <row r="110" spans="4:50" x14ac:dyDescent="0.2">
      <c r="D110" s="33"/>
      <c r="U110" s="15"/>
      <c r="AX110" s="33"/>
    </row>
    <row r="111" spans="4:50" x14ac:dyDescent="0.2">
      <c r="D111" s="33"/>
      <c r="U111" s="15"/>
      <c r="AX111" s="33"/>
    </row>
    <row r="112" spans="4:50" x14ac:dyDescent="0.2">
      <c r="D112" s="33"/>
      <c r="U112" s="15"/>
      <c r="AX112" s="33"/>
    </row>
    <row r="113" spans="4:50" x14ac:dyDescent="0.2">
      <c r="D113" s="33"/>
      <c r="U113" s="15"/>
      <c r="AX113" s="33"/>
    </row>
    <row r="114" spans="4:50" x14ac:dyDescent="0.2">
      <c r="D114" s="33"/>
      <c r="U114" s="15"/>
      <c r="AX114" s="33"/>
    </row>
    <row r="115" spans="4:50" x14ac:dyDescent="0.2">
      <c r="D115" s="33"/>
      <c r="U115" s="15"/>
      <c r="AX115" s="33"/>
    </row>
    <row r="116" spans="4:50" x14ac:dyDescent="0.2">
      <c r="D116" s="33"/>
      <c r="U116" s="15"/>
      <c r="AX116" s="33"/>
    </row>
    <row r="117" spans="4:50" x14ac:dyDescent="0.2">
      <c r="D117" s="33"/>
      <c r="U117" s="15"/>
      <c r="AX117" s="33"/>
    </row>
    <row r="118" spans="4:50" x14ac:dyDescent="0.2">
      <c r="D118" s="33"/>
      <c r="U118" s="15"/>
      <c r="AX118" s="33"/>
    </row>
    <row r="119" spans="4:50" x14ac:dyDescent="0.2">
      <c r="D119" s="33"/>
      <c r="U119" s="15"/>
      <c r="AX119" s="33"/>
    </row>
    <row r="120" spans="4:50" x14ac:dyDescent="0.2">
      <c r="D120" s="33"/>
      <c r="U120" s="15"/>
      <c r="AX120" s="33"/>
    </row>
    <row r="121" spans="4:50" x14ac:dyDescent="0.2">
      <c r="D121" s="33"/>
      <c r="U121" s="15"/>
      <c r="AX121" s="33"/>
    </row>
    <row r="122" spans="4:50" x14ac:dyDescent="0.2">
      <c r="D122" s="33"/>
      <c r="U122" s="15"/>
      <c r="AX122" s="33"/>
    </row>
    <row r="123" spans="4:50" x14ac:dyDescent="0.2">
      <c r="D123" s="33"/>
      <c r="U123" s="15"/>
      <c r="AX123" s="33"/>
    </row>
    <row r="124" spans="4:50" x14ac:dyDescent="0.2">
      <c r="D124" s="33"/>
      <c r="U124" s="15"/>
      <c r="AX124" s="33"/>
    </row>
    <row r="125" spans="4:50" x14ac:dyDescent="0.2">
      <c r="D125" s="33"/>
      <c r="U125" s="15"/>
      <c r="AX125" s="33"/>
    </row>
    <row r="126" spans="4:50" x14ac:dyDescent="0.2">
      <c r="D126" s="33"/>
      <c r="U126" s="15"/>
      <c r="AX126" s="33"/>
    </row>
    <row r="127" spans="4:50" x14ac:dyDescent="0.2">
      <c r="D127" s="33"/>
      <c r="U127" s="15"/>
      <c r="AX127" s="33"/>
    </row>
    <row r="128" spans="4:50" x14ac:dyDescent="0.2">
      <c r="D128" s="33"/>
      <c r="U128" s="15"/>
      <c r="AX128" s="33"/>
    </row>
    <row r="129" spans="4:50" x14ac:dyDescent="0.2">
      <c r="D129" s="33"/>
      <c r="U129" s="15"/>
      <c r="AX129" s="33"/>
    </row>
    <row r="130" spans="4:50" x14ac:dyDescent="0.2">
      <c r="D130" s="33"/>
      <c r="U130" s="15"/>
      <c r="AX130" s="33"/>
    </row>
    <row r="131" spans="4:50" x14ac:dyDescent="0.2">
      <c r="D131" s="33"/>
      <c r="U131" s="15"/>
      <c r="AX131" s="33"/>
    </row>
    <row r="132" spans="4:50" x14ac:dyDescent="0.2">
      <c r="D132" s="33"/>
      <c r="U132" s="15"/>
      <c r="AX132" s="33"/>
    </row>
    <row r="133" spans="4:50" x14ac:dyDescent="0.2">
      <c r="D133" s="33"/>
      <c r="U133" s="15"/>
      <c r="AX133" s="33"/>
    </row>
    <row r="134" spans="4:50" x14ac:dyDescent="0.2">
      <c r="D134" s="33"/>
      <c r="U134" s="15"/>
      <c r="AX134" s="33"/>
    </row>
    <row r="135" spans="4:50" x14ac:dyDescent="0.2">
      <c r="D135" s="33"/>
      <c r="U135" s="15"/>
      <c r="AX135" s="33"/>
    </row>
    <row r="136" spans="4:50" x14ac:dyDescent="0.2">
      <c r="D136" s="33"/>
      <c r="U136" s="15"/>
      <c r="AX136" s="33"/>
    </row>
    <row r="137" spans="4:50" x14ac:dyDescent="0.2">
      <c r="D137" s="33"/>
      <c r="U137" s="15"/>
      <c r="AX137" s="33"/>
    </row>
    <row r="138" spans="4:50" x14ac:dyDescent="0.2">
      <c r="D138" s="33"/>
      <c r="U138" s="15"/>
      <c r="AX138" s="33"/>
    </row>
    <row r="139" spans="4:50" x14ac:dyDescent="0.2">
      <c r="D139" s="33"/>
      <c r="U139" s="15"/>
      <c r="AX139" s="33"/>
    </row>
    <row r="140" spans="4:50" x14ac:dyDescent="0.2">
      <c r="D140" s="33"/>
      <c r="U140" s="15"/>
      <c r="AX140" s="33"/>
    </row>
    <row r="141" spans="4:50" x14ac:dyDescent="0.2">
      <c r="D141" s="33"/>
      <c r="U141" s="15"/>
      <c r="AX141" s="33"/>
    </row>
    <row r="142" spans="4:50" x14ac:dyDescent="0.2">
      <c r="D142" s="33"/>
      <c r="U142" s="15"/>
      <c r="AX142" s="33"/>
    </row>
    <row r="143" spans="4:50" x14ac:dyDescent="0.2">
      <c r="D143" s="33"/>
      <c r="U143" s="15"/>
      <c r="AX143" s="33"/>
    </row>
    <row r="144" spans="4:50" x14ac:dyDescent="0.2">
      <c r="D144" s="33"/>
      <c r="U144" s="15"/>
      <c r="AX144" s="33"/>
    </row>
    <row r="145" spans="4:50" x14ac:dyDescent="0.2">
      <c r="D145" s="33"/>
      <c r="U145" s="15"/>
      <c r="AX145" s="33"/>
    </row>
    <row r="146" spans="4:50" x14ac:dyDescent="0.2">
      <c r="D146" s="33"/>
      <c r="U146" s="15"/>
      <c r="AX146" s="33"/>
    </row>
    <row r="147" spans="4:50" x14ac:dyDescent="0.2">
      <c r="D147" s="33"/>
      <c r="U147" s="15"/>
      <c r="AX147" s="33"/>
    </row>
    <row r="148" spans="4:50" x14ac:dyDescent="0.2">
      <c r="D148" s="33"/>
      <c r="U148" s="15"/>
      <c r="AX148" s="33"/>
    </row>
    <row r="149" spans="4:50" x14ac:dyDescent="0.2">
      <c r="D149" s="33"/>
      <c r="U149" s="15"/>
      <c r="AX149" s="33"/>
    </row>
    <row r="150" spans="4:50" x14ac:dyDescent="0.2">
      <c r="D150" s="33"/>
      <c r="U150" s="15"/>
      <c r="AX150" s="33"/>
    </row>
    <row r="151" spans="4:50" x14ac:dyDescent="0.2">
      <c r="D151" s="33"/>
      <c r="U151" s="15"/>
      <c r="AX151" s="33"/>
    </row>
    <row r="152" spans="4:50" x14ac:dyDescent="0.2">
      <c r="D152" s="33"/>
      <c r="U152" s="15"/>
      <c r="AX152" s="33"/>
    </row>
    <row r="153" spans="4:50" x14ac:dyDescent="0.2">
      <c r="D153" s="33"/>
      <c r="U153" s="15"/>
      <c r="AX153" s="33"/>
    </row>
    <row r="154" spans="4:50" x14ac:dyDescent="0.2">
      <c r="D154" s="33"/>
      <c r="U154" s="15"/>
      <c r="AX154" s="33"/>
    </row>
    <row r="155" spans="4:50" x14ac:dyDescent="0.2">
      <c r="D155" s="33"/>
      <c r="U155" s="15"/>
      <c r="AX155" s="33"/>
    </row>
    <row r="156" spans="4:50" x14ac:dyDescent="0.2">
      <c r="D156" s="33"/>
      <c r="U156" s="15"/>
      <c r="AX156" s="33"/>
    </row>
    <row r="157" spans="4:50" x14ac:dyDescent="0.2">
      <c r="D157" s="33"/>
      <c r="U157" s="15"/>
      <c r="AX157" s="33"/>
    </row>
    <row r="158" spans="4:50" x14ac:dyDescent="0.2">
      <c r="D158" s="33"/>
      <c r="U158" s="15"/>
      <c r="AX158" s="33"/>
    </row>
    <row r="159" spans="4:50" x14ac:dyDescent="0.2">
      <c r="D159" s="33"/>
      <c r="U159" s="15"/>
      <c r="AX159" s="33"/>
    </row>
    <row r="160" spans="4:50" x14ac:dyDescent="0.2">
      <c r="D160" s="33"/>
      <c r="U160" s="15"/>
      <c r="AX160" s="33"/>
    </row>
    <row r="161" spans="4:50" x14ac:dyDescent="0.2">
      <c r="D161" s="33"/>
      <c r="U161" s="15"/>
      <c r="AX161" s="33"/>
    </row>
    <row r="162" spans="4:50" x14ac:dyDescent="0.2">
      <c r="D162" s="33"/>
      <c r="U162" s="15"/>
      <c r="AX162" s="33"/>
    </row>
    <row r="163" spans="4:50" x14ac:dyDescent="0.2">
      <c r="D163" s="33"/>
      <c r="U163" s="15"/>
      <c r="AX163" s="33"/>
    </row>
    <row r="164" spans="4:50" x14ac:dyDescent="0.2">
      <c r="D164" s="33"/>
      <c r="U164" s="15"/>
      <c r="AX164" s="33"/>
    </row>
    <row r="165" spans="4:50" x14ac:dyDescent="0.2">
      <c r="D165" s="33"/>
      <c r="U165" s="15"/>
      <c r="AX165" s="33"/>
    </row>
    <row r="166" spans="4:50" x14ac:dyDescent="0.2">
      <c r="D166" s="33"/>
      <c r="U166" s="15"/>
      <c r="AX166" s="33"/>
    </row>
    <row r="167" spans="4:50" x14ac:dyDescent="0.2">
      <c r="D167" s="33"/>
      <c r="U167" s="15"/>
      <c r="AX167" s="33"/>
    </row>
    <row r="168" spans="4:50" x14ac:dyDescent="0.2">
      <c r="D168" s="33"/>
      <c r="U168" s="15"/>
      <c r="AX168" s="33"/>
    </row>
    <row r="169" spans="4:50" x14ac:dyDescent="0.2">
      <c r="D169" s="33"/>
      <c r="U169" s="15"/>
      <c r="AX169" s="33"/>
    </row>
    <row r="170" spans="4:50" x14ac:dyDescent="0.2">
      <c r="D170" s="33"/>
      <c r="U170" s="15"/>
      <c r="AX170" s="33"/>
    </row>
    <row r="171" spans="4:50" x14ac:dyDescent="0.2">
      <c r="D171" s="33"/>
      <c r="U171" s="15"/>
      <c r="AX171" s="33"/>
    </row>
    <row r="172" spans="4:50" x14ac:dyDescent="0.2">
      <c r="D172" s="33"/>
      <c r="U172" s="15"/>
      <c r="AX172" s="33"/>
    </row>
    <row r="173" spans="4:50" x14ac:dyDescent="0.2">
      <c r="D173" s="33"/>
      <c r="U173" s="15"/>
      <c r="AX173" s="33"/>
    </row>
    <row r="174" spans="4:50" x14ac:dyDescent="0.2">
      <c r="D174" s="33"/>
      <c r="U174" s="15"/>
      <c r="AX174" s="33"/>
    </row>
    <row r="175" spans="4:50" x14ac:dyDescent="0.2">
      <c r="D175" s="33"/>
      <c r="U175" s="15"/>
      <c r="AX175" s="33"/>
    </row>
    <row r="176" spans="4:50" x14ac:dyDescent="0.2">
      <c r="D176" s="33"/>
      <c r="U176" s="15"/>
      <c r="AX176" s="33"/>
    </row>
    <row r="177" spans="4:50" x14ac:dyDescent="0.2">
      <c r="D177" s="33"/>
      <c r="U177" s="15"/>
      <c r="AX177" s="33"/>
    </row>
    <row r="178" spans="4:50" x14ac:dyDescent="0.2">
      <c r="D178" s="33"/>
      <c r="U178" s="15"/>
      <c r="AX178" s="33"/>
    </row>
    <row r="179" spans="4:50" x14ac:dyDescent="0.2">
      <c r="D179" s="33"/>
      <c r="U179" s="15"/>
      <c r="AX179" s="33"/>
    </row>
    <row r="180" spans="4:50" x14ac:dyDescent="0.2">
      <c r="D180" s="33"/>
      <c r="U180" s="15"/>
      <c r="AX180" s="33"/>
    </row>
    <row r="181" spans="4:50" x14ac:dyDescent="0.2">
      <c r="D181" s="33"/>
      <c r="U181" s="15"/>
      <c r="AX181" s="33"/>
    </row>
    <row r="182" spans="4:50" x14ac:dyDescent="0.2">
      <c r="D182" s="33"/>
      <c r="U182" s="15"/>
      <c r="AX182" s="33"/>
    </row>
    <row r="183" spans="4:50" x14ac:dyDescent="0.2">
      <c r="D183" s="33"/>
      <c r="U183" s="15"/>
      <c r="AX183" s="33"/>
    </row>
    <row r="184" spans="4:50" x14ac:dyDescent="0.2">
      <c r="D184" s="33"/>
      <c r="U184" s="15"/>
      <c r="AX184" s="33"/>
    </row>
    <row r="185" spans="4:50" x14ac:dyDescent="0.2">
      <c r="D185" s="33"/>
      <c r="U185" s="15"/>
      <c r="AX185" s="33"/>
    </row>
    <row r="186" spans="4:50" x14ac:dyDescent="0.2">
      <c r="D186" s="33"/>
      <c r="U186" s="15"/>
      <c r="AX186" s="33"/>
    </row>
    <row r="187" spans="4:50" x14ac:dyDescent="0.2">
      <c r="D187" s="33"/>
      <c r="U187" s="15"/>
      <c r="AX187" s="33"/>
    </row>
    <row r="188" spans="4:50" x14ac:dyDescent="0.2">
      <c r="D188" s="33"/>
      <c r="U188" s="15"/>
      <c r="AX188" s="33"/>
    </row>
    <row r="189" spans="4:50" x14ac:dyDescent="0.2">
      <c r="D189" s="33"/>
      <c r="U189" s="15"/>
      <c r="AX189" s="33"/>
    </row>
    <row r="190" spans="4:50" x14ac:dyDescent="0.2">
      <c r="D190" s="33"/>
      <c r="U190" s="15"/>
      <c r="AX190" s="33"/>
    </row>
    <row r="191" spans="4:50" x14ac:dyDescent="0.2">
      <c r="D191" s="33"/>
      <c r="U191" s="15"/>
      <c r="AX191" s="33"/>
    </row>
    <row r="192" spans="4:50" x14ac:dyDescent="0.2">
      <c r="D192" s="33"/>
      <c r="U192" s="15"/>
      <c r="AX192" s="33"/>
    </row>
    <row r="193" spans="4:50" x14ac:dyDescent="0.2">
      <c r="D193" s="33"/>
      <c r="U193" s="15"/>
      <c r="AX193" s="33"/>
    </row>
    <row r="194" spans="4:50" x14ac:dyDescent="0.2">
      <c r="D194" s="33"/>
      <c r="U194" s="15"/>
      <c r="AX194" s="33"/>
    </row>
    <row r="195" spans="4:50" x14ac:dyDescent="0.2">
      <c r="D195" s="33"/>
      <c r="U195" s="15"/>
      <c r="AX195" s="33"/>
    </row>
    <row r="196" spans="4:50" x14ac:dyDescent="0.2">
      <c r="D196" s="33"/>
      <c r="U196" s="15"/>
      <c r="AX196" s="33"/>
    </row>
    <row r="197" spans="4:50" x14ac:dyDescent="0.2">
      <c r="D197" s="33"/>
      <c r="U197" s="15"/>
      <c r="AX197" s="33"/>
    </row>
    <row r="198" spans="4:50" x14ac:dyDescent="0.2">
      <c r="D198" s="33"/>
      <c r="U198" s="15"/>
      <c r="AX198" s="33"/>
    </row>
    <row r="199" spans="4:50" x14ac:dyDescent="0.2">
      <c r="D199" s="33"/>
      <c r="U199" s="15"/>
      <c r="AX199" s="33"/>
    </row>
    <row r="200" spans="4:50" x14ac:dyDescent="0.2">
      <c r="D200" s="33"/>
      <c r="U200" s="15"/>
      <c r="AX200" s="33"/>
    </row>
    <row r="201" spans="4:50" x14ac:dyDescent="0.2">
      <c r="D201" s="33"/>
      <c r="U201" s="15"/>
      <c r="AX201" s="33"/>
    </row>
    <row r="202" spans="4:50" x14ac:dyDescent="0.2">
      <c r="D202" s="33"/>
      <c r="U202" s="15"/>
      <c r="AX202" s="33"/>
    </row>
    <row r="203" spans="4:50" x14ac:dyDescent="0.2">
      <c r="D203" s="33"/>
      <c r="U203" s="15"/>
      <c r="AX203" s="33"/>
    </row>
    <row r="204" spans="4:50" x14ac:dyDescent="0.2">
      <c r="D204" s="33"/>
      <c r="U204" s="15"/>
      <c r="AX204" s="33"/>
    </row>
    <row r="205" spans="4:50" x14ac:dyDescent="0.2">
      <c r="D205" s="33"/>
      <c r="U205" s="15"/>
      <c r="AX205" s="33"/>
    </row>
    <row r="206" spans="4:50" x14ac:dyDescent="0.2">
      <c r="D206" s="33"/>
      <c r="U206" s="15"/>
      <c r="AX206" s="33"/>
    </row>
    <row r="207" spans="4:50" x14ac:dyDescent="0.2">
      <c r="D207" s="33"/>
      <c r="U207" s="15"/>
      <c r="AX207" s="33"/>
    </row>
    <row r="208" spans="4:50" x14ac:dyDescent="0.2">
      <c r="D208" s="33"/>
      <c r="U208" s="15"/>
      <c r="AX208" s="3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tabSelected="1" topLeftCell="A116" workbookViewId="0">
      <selection activeCell="J143" sqref="J143"/>
    </sheetView>
  </sheetViews>
  <sheetFormatPr baseColWidth="10" defaultRowHeight="15" x14ac:dyDescent="0.2"/>
  <sheetData>
    <row r="1" spans="1:6" x14ac:dyDescent="0.2">
      <c r="A1" s="12" t="s">
        <v>281</v>
      </c>
      <c r="B1" s="12" t="s">
        <v>270</v>
      </c>
      <c r="C1" s="12" t="s">
        <v>282</v>
      </c>
      <c r="D1" s="12" t="s">
        <v>283</v>
      </c>
      <c r="E1" s="12" t="s">
        <v>284</v>
      </c>
      <c r="F1" s="12" t="s">
        <v>285</v>
      </c>
    </row>
    <row r="2" spans="1:6" x14ac:dyDescent="0.2">
      <c r="A2">
        <v>1</v>
      </c>
      <c r="B2" s="6" t="s">
        <v>97</v>
      </c>
      <c r="C2">
        <v>17</v>
      </c>
      <c r="D2">
        <v>0</v>
      </c>
      <c r="E2">
        <f>SUM(C2:D2)</f>
        <v>17</v>
      </c>
      <c r="F2" s="73">
        <f>C2/E2</f>
        <v>1</v>
      </c>
    </row>
    <row r="3" spans="1:6" x14ac:dyDescent="0.2">
      <c r="A3">
        <v>1</v>
      </c>
      <c r="B3" s="6" t="s">
        <v>98</v>
      </c>
      <c r="C3">
        <v>18</v>
      </c>
      <c r="D3">
        <v>0</v>
      </c>
      <c r="E3" s="33">
        <f t="shared" ref="E3:E66" si="0">SUM(C3:D3)</f>
        <v>18</v>
      </c>
      <c r="F3" s="73">
        <f t="shared" ref="F3:F66" si="1">C3/E3</f>
        <v>1</v>
      </c>
    </row>
    <row r="4" spans="1:6" x14ac:dyDescent="0.2">
      <c r="A4">
        <v>1</v>
      </c>
      <c r="B4" s="6" t="s">
        <v>99</v>
      </c>
      <c r="C4">
        <v>18</v>
      </c>
      <c r="D4">
        <v>0</v>
      </c>
      <c r="E4" s="33">
        <f t="shared" si="0"/>
        <v>18</v>
      </c>
      <c r="F4" s="73">
        <f t="shared" si="1"/>
        <v>1</v>
      </c>
    </row>
    <row r="5" spans="1:6" x14ac:dyDescent="0.2">
      <c r="A5">
        <v>1</v>
      </c>
      <c r="B5" s="6" t="s">
        <v>101</v>
      </c>
      <c r="C5">
        <v>16</v>
      </c>
      <c r="D5">
        <v>0</v>
      </c>
      <c r="E5" s="33">
        <f t="shared" si="0"/>
        <v>16</v>
      </c>
      <c r="F5" s="73">
        <f t="shared" si="1"/>
        <v>1</v>
      </c>
    </row>
    <row r="6" spans="1:6" x14ac:dyDescent="0.2">
      <c r="A6">
        <v>1</v>
      </c>
      <c r="B6" s="6" t="s">
        <v>102</v>
      </c>
      <c r="C6">
        <v>20</v>
      </c>
      <c r="D6">
        <v>0</v>
      </c>
      <c r="E6" s="33">
        <f t="shared" si="0"/>
        <v>20</v>
      </c>
      <c r="F6" s="73">
        <f t="shared" si="1"/>
        <v>1</v>
      </c>
    </row>
    <row r="7" spans="1:6" x14ac:dyDescent="0.2">
      <c r="A7">
        <v>1</v>
      </c>
      <c r="B7" s="6" t="s">
        <v>103</v>
      </c>
      <c r="C7">
        <v>14</v>
      </c>
      <c r="D7">
        <v>0</v>
      </c>
      <c r="E7" s="33">
        <f t="shared" si="0"/>
        <v>14</v>
      </c>
      <c r="F7" s="73">
        <f t="shared" si="1"/>
        <v>1</v>
      </c>
    </row>
    <row r="8" spans="1:6" x14ac:dyDescent="0.2">
      <c r="A8">
        <v>1</v>
      </c>
      <c r="B8" s="6" t="s">
        <v>104</v>
      </c>
      <c r="C8">
        <v>19</v>
      </c>
      <c r="D8">
        <v>0</v>
      </c>
      <c r="E8" s="33">
        <f t="shared" si="0"/>
        <v>19</v>
      </c>
      <c r="F8" s="73">
        <f t="shared" si="1"/>
        <v>1</v>
      </c>
    </row>
    <row r="9" spans="1:6" x14ac:dyDescent="0.2">
      <c r="A9">
        <v>1</v>
      </c>
      <c r="B9" s="6" t="s">
        <v>105</v>
      </c>
      <c r="C9">
        <v>18</v>
      </c>
      <c r="D9">
        <v>0</v>
      </c>
      <c r="E9" s="33">
        <f t="shared" si="0"/>
        <v>18</v>
      </c>
      <c r="F9" s="73">
        <f t="shared" si="1"/>
        <v>1</v>
      </c>
    </row>
    <row r="10" spans="1:6" x14ac:dyDescent="0.2">
      <c r="A10">
        <v>1</v>
      </c>
      <c r="B10" s="6" t="s">
        <v>106</v>
      </c>
      <c r="C10">
        <v>20</v>
      </c>
      <c r="D10">
        <v>0</v>
      </c>
      <c r="E10" s="33">
        <f t="shared" si="0"/>
        <v>20</v>
      </c>
      <c r="F10" s="73">
        <f t="shared" si="1"/>
        <v>1</v>
      </c>
    </row>
    <row r="11" spans="1:6" x14ac:dyDescent="0.2">
      <c r="A11">
        <v>1</v>
      </c>
      <c r="B11" s="6" t="s">
        <v>107</v>
      </c>
      <c r="C11">
        <v>18</v>
      </c>
      <c r="D11">
        <v>1</v>
      </c>
      <c r="E11" s="33">
        <f t="shared" si="0"/>
        <v>19</v>
      </c>
      <c r="F11" s="73">
        <f t="shared" si="1"/>
        <v>0.94736842105263153</v>
      </c>
    </row>
    <row r="12" spans="1:6" x14ac:dyDescent="0.2">
      <c r="A12">
        <v>1</v>
      </c>
      <c r="B12" s="6" t="s">
        <v>108</v>
      </c>
      <c r="C12">
        <v>20</v>
      </c>
      <c r="D12">
        <v>0</v>
      </c>
      <c r="E12" s="33">
        <f t="shared" si="0"/>
        <v>20</v>
      </c>
      <c r="F12" s="73">
        <f t="shared" si="1"/>
        <v>1</v>
      </c>
    </row>
    <row r="13" spans="1:6" x14ac:dyDescent="0.2">
      <c r="A13">
        <v>1</v>
      </c>
      <c r="B13" s="6" t="s">
        <v>109</v>
      </c>
      <c r="C13">
        <v>19</v>
      </c>
      <c r="D13">
        <v>0</v>
      </c>
      <c r="E13" s="33">
        <f t="shared" si="0"/>
        <v>19</v>
      </c>
      <c r="F13" s="73">
        <f t="shared" si="1"/>
        <v>1</v>
      </c>
    </row>
    <row r="14" spans="1:6" x14ac:dyDescent="0.2">
      <c r="A14">
        <v>1</v>
      </c>
      <c r="B14" s="6" t="s">
        <v>110</v>
      </c>
      <c r="C14">
        <v>19</v>
      </c>
      <c r="D14">
        <v>1</v>
      </c>
      <c r="E14" s="33">
        <f t="shared" si="0"/>
        <v>20</v>
      </c>
      <c r="F14" s="73">
        <f t="shared" si="1"/>
        <v>0.95</v>
      </c>
    </row>
    <row r="15" spans="1:6" x14ac:dyDescent="0.2">
      <c r="A15">
        <v>1</v>
      </c>
      <c r="B15" s="6" t="s">
        <v>111</v>
      </c>
      <c r="C15">
        <v>19</v>
      </c>
      <c r="D15">
        <v>1</v>
      </c>
      <c r="E15" s="33">
        <f t="shared" si="0"/>
        <v>20</v>
      </c>
      <c r="F15" s="73">
        <f t="shared" si="1"/>
        <v>0.95</v>
      </c>
    </row>
    <row r="16" spans="1:6" x14ac:dyDescent="0.2">
      <c r="A16">
        <v>2</v>
      </c>
      <c r="B16" s="6" t="s">
        <v>97</v>
      </c>
      <c r="C16">
        <v>18</v>
      </c>
      <c r="D16">
        <v>0</v>
      </c>
      <c r="E16" s="33">
        <f t="shared" si="0"/>
        <v>18</v>
      </c>
      <c r="F16" s="73">
        <f t="shared" si="1"/>
        <v>1</v>
      </c>
    </row>
    <row r="17" spans="1:6" x14ac:dyDescent="0.2">
      <c r="A17">
        <v>2</v>
      </c>
      <c r="B17" s="6" t="s">
        <v>98</v>
      </c>
      <c r="C17">
        <v>18</v>
      </c>
      <c r="D17">
        <v>0</v>
      </c>
      <c r="E17" s="33">
        <f t="shared" si="0"/>
        <v>18</v>
      </c>
      <c r="F17" s="73">
        <f t="shared" si="1"/>
        <v>1</v>
      </c>
    </row>
    <row r="18" spans="1:6" x14ac:dyDescent="0.2">
      <c r="A18">
        <v>2</v>
      </c>
      <c r="B18" s="6" t="s">
        <v>99</v>
      </c>
      <c r="C18">
        <v>18</v>
      </c>
      <c r="D18">
        <v>0</v>
      </c>
      <c r="E18" s="33">
        <f t="shared" si="0"/>
        <v>18</v>
      </c>
      <c r="F18" s="73">
        <f t="shared" si="1"/>
        <v>1</v>
      </c>
    </row>
    <row r="19" spans="1:6" x14ac:dyDescent="0.2">
      <c r="A19">
        <v>2</v>
      </c>
      <c r="B19" s="6" t="s">
        <v>101</v>
      </c>
      <c r="C19">
        <v>16</v>
      </c>
      <c r="D19">
        <v>0</v>
      </c>
      <c r="E19" s="33">
        <f t="shared" si="0"/>
        <v>16</v>
      </c>
      <c r="F19" s="73">
        <f t="shared" si="1"/>
        <v>1</v>
      </c>
    </row>
    <row r="20" spans="1:6" x14ac:dyDescent="0.2">
      <c r="A20">
        <v>2</v>
      </c>
      <c r="B20" s="6" t="s">
        <v>102</v>
      </c>
      <c r="C20">
        <v>16</v>
      </c>
      <c r="D20">
        <v>3</v>
      </c>
      <c r="E20" s="33">
        <f t="shared" si="0"/>
        <v>19</v>
      </c>
      <c r="F20" s="73">
        <f t="shared" si="1"/>
        <v>0.84210526315789469</v>
      </c>
    </row>
    <row r="21" spans="1:6" x14ac:dyDescent="0.2">
      <c r="A21">
        <v>2</v>
      </c>
      <c r="B21" s="6" t="s">
        <v>103</v>
      </c>
      <c r="C21">
        <v>14</v>
      </c>
      <c r="D21">
        <v>0</v>
      </c>
      <c r="E21" s="33">
        <f t="shared" si="0"/>
        <v>14</v>
      </c>
      <c r="F21" s="73">
        <f t="shared" si="1"/>
        <v>1</v>
      </c>
    </row>
    <row r="22" spans="1:6" x14ac:dyDescent="0.2">
      <c r="A22">
        <v>2</v>
      </c>
      <c r="B22" s="6" t="s">
        <v>104</v>
      </c>
      <c r="C22">
        <v>18</v>
      </c>
      <c r="D22">
        <v>0</v>
      </c>
      <c r="E22" s="33">
        <f t="shared" si="0"/>
        <v>18</v>
      </c>
      <c r="F22" s="73">
        <f t="shared" si="1"/>
        <v>1</v>
      </c>
    </row>
    <row r="23" spans="1:6" x14ac:dyDescent="0.2">
      <c r="A23">
        <v>2</v>
      </c>
      <c r="B23" s="6" t="s">
        <v>105</v>
      </c>
      <c r="C23">
        <v>17</v>
      </c>
      <c r="D23">
        <v>0</v>
      </c>
      <c r="E23" s="33">
        <f t="shared" si="0"/>
        <v>17</v>
      </c>
      <c r="F23" s="73">
        <f t="shared" si="1"/>
        <v>1</v>
      </c>
    </row>
    <row r="24" spans="1:6" x14ac:dyDescent="0.2">
      <c r="A24">
        <v>2</v>
      </c>
      <c r="B24" s="6" t="s">
        <v>106</v>
      </c>
      <c r="C24">
        <v>20</v>
      </c>
      <c r="D24">
        <v>0</v>
      </c>
      <c r="E24" s="33">
        <f t="shared" si="0"/>
        <v>20</v>
      </c>
      <c r="F24" s="73">
        <f t="shared" si="1"/>
        <v>1</v>
      </c>
    </row>
    <row r="25" spans="1:6" x14ac:dyDescent="0.2">
      <c r="A25">
        <v>2</v>
      </c>
      <c r="B25" s="6" t="s">
        <v>107</v>
      </c>
      <c r="C25">
        <v>18</v>
      </c>
      <c r="D25">
        <v>1</v>
      </c>
      <c r="E25" s="33">
        <f t="shared" si="0"/>
        <v>19</v>
      </c>
      <c r="F25" s="73">
        <f t="shared" si="1"/>
        <v>0.94736842105263153</v>
      </c>
    </row>
    <row r="26" spans="1:6" x14ac:dyDescent="0.2">
      <c r="A26">
        <v>2</v>
      </c>
      <c r="B26" s="6" t="s">
        <v>108</v>
      </c>
      <c r="C26">
        <v>20</v>
      </c>
      <c r="D26">
        <v>0</v>
      </c>
      <c r="E26" s="33">
        <f t="shared" si="0"/>
        <v>20</v>
      </c>
      <c r="F26" s="73">
        <f t="shared" si="1"/>
        <v>1</v>
      </c>
    </row>
    <row r="27" spans="1:6" x14ac:dyDescent="0.2">
      <c r="A27">
        <v>2</v>
      </c>
      <c r="B27" s="6" t="s">
        <v>109</v>
      </c>
      <c r="C27">
        <v>19</v>
      </c>
      <c r="D27">
        <v>0</v>
      </c>
      <c r="E27" s="33">
        <f t="shared" si="0"/>
        <v>19</v>
      </c>
      <c r="F27" s="73">
        <f t="shared" si="1"/>
        <v>1</v>
      </c>
    </row>
    <row r="28" spans="1:6" x14ac:dyDescent="0.2">
      <c r="A28">
        <v>2</v>
      </c>
      <c r="B28" s="6" t="s">
        <v>110</v>
      </c>
      <c r="C28">
        <v>18</v>
      </c>
      <c r="D28">
        <v>2</v>
      </c>
      <c r="E28" s="33">
        <f t="shared" si="0"/>
        <v>20</v>
      </c>
      <c r="F28" s="73">
        <f t="shared" si="1"/>
        <v>0.9</v>
      </c>
    </row>
    <row r="29" spans="1:6" x14ac:dyDescent="0.2">
      <c r="A29">
        <v>2</v>
      </c>
      <c r="B29" s="6" t="s">
        <v>111</v>
      </c>
      <c r="C29">
        <v>16</v>
      </c>
      <c r="D29">
        <v>4</v>
      </c>
      <c r="E29" s="33">
        <f t="shared" si="0"/>
        <v>20</v>
      </c>
      <c r="F29" s="73">
        <f t="shared" si="1"/>
        <v>0.8</v>
      </c>
    </row>
    <row r="30" spans="1:6" x14ac:dyDescent="0.2">
      <c r="A30">
        <v>3</v>
      </c>
      <c r="B30" s="6" t="s">
        <v>97</v>
      </c>
      <c r="C30">
        <v>17</v>
      </c>
      <c r="D30">
        <v>1</v>
      </c>
      <c r="E30" s="33">
        <f t="shared" si="0"/>
        <v>18</v>
      </c>
      <c r="F30" s="73">
        <f t="shared" si="1"/>
        <v>0.94444444444444442</v>
      </c>
    </row>
    <row r="31" spans="1:6" x14ac:dyDescent="0.2">
      <c r="A31">
        <v>3</v>
      </c>
      <c r="B31" s="6" t="s">
        <v>98</v>
      </c>
      <c r="C31">
        <v>15</v>
      </c>
      <c r="D31">
        <v>3</v>
      </c>
      <c r="E31" s="33">
        <f t="shared" si="0"/>
        <v>18</v>
      </c>
      <c r="F31" s="73">
        <f t="shared" si="1"/>
        <v>0.83333333333333337</v>
      </c>
    </row>
    <row r="32" spans="1:6" x14ac:dyDescent="0.2">
      <c r="A32">
        <v>3</v>
      </c>
      <c r="B32" s="6" t="s">
        <v>99</v>
      </c>
      <c r="C32">
        <v>17</v>
      </c>
      <c r="D32">
        <v>0</v>
      </c>
      <c r="E32" s="33">
        <f t="shared" si="0"/>
        <v>17</v>
      </c>
      <c r="F32" s="73">
        <f t="shared" si="1"/>
        <v>1</v>
      </c>
    </row>
    <row r="33" spans="1:6" x14ac:dyDescent="0.2">
      <c r="A33">
        <v>3</v>
      </c>
      <c r="B33" s="6" t="s">
        <v>101</v>
      </c>
      <c r="C33">
        <v>16</v>
      </c>
      <c r="D33">
        <v>1</v>
      </c>
      <c r="E33" s="33">
        <f t="shared" si="0"/>
        <v>17</v>
      </c>
      <c r="F33" s="73">
        <f t="shared" si="1"/>
        <v>0.94117647058823528</v>
      </c>
    </row>
    <row r="34" spans="1:6" x14ac:dyDescent="0.2">
      <c r="A34">
        <v>3</v>
      </c>
      <c r="B34" s="6" t="s">
        <v>102</v>
      </c>
      <c r="C34">
        <v>4</v>
      </c>
      <c r="D34">
        <v>16</v>
      </c>
      <c r="E34" s="33">
        <f t="shared" si="0"/>
        <v>20</v>
      </c>
      <c r="F34" s="73">
        <f t="shared" si="1"/>
        <v>0.2</v>
      </c>
    </row>
    <row r="35" spans="1:6" x14ac:dyDescent="0.2">
      <c r="A35">
        <v>3</v>
      </c>
      <c r="B35" s="6" t="s">
        <v>103</v>
      </c>
      <c r="C35">
        <v>13</v>
      </c>
      <c r="D35">
        <v>0</v>
      </c>
      <c r="E35" s="33">
        <f t="shared" si="0"/>
        <v>13</v>
      </c>
      <c r="F35" s="73">
        <f t="shared" si="1"/>
        <v>1</v>
      </c>
    </row>
    <row r="36" spans="1:6" x14ac:dyDescent="0.2">
      <c r="A36">
        <v>3</v>
      </c>
      <c r="B36" s="6" t="s">
        <v>104</v>
      </c>
      <c r="C36">
        <v>17</v>
      </c>
      <c r="D36">
        <v>1</v>
      </c>
      <c r="E36" s="33">
        <f t="shared" si="0"/>
        <v>18</v>
      </c>
      <c r="F36" s="73">
        <f t="shared" si="1"/>
        <v>0.94444444444444442</v>
      </c>
    </row>
    <row r="37" spans="1:6" x14ac:dyDescent="0.2">
      <c r="A37">
        <v>3</v>
      </c>
      <c r="B37" s="6" t="s">
        <v>105</v>
      </c>
      <c r="C37">
        <v>15</v>
      </c>
      <c r="D37">
        <v>2</v>
      </c>
      <c r="E37" s="33">
        <f t="shared" si="0"/>
        <v>17</v>
      </c>
      <c r="F37" s="73">
        <f t="shared" si="1"/>
        <v>0.88235294117647056</v>
      </c>
    </row>
    <row r="38" spans="1:6" x14ac:dyDescent="0.2">
      <c r="A38">
        <v>3</v>
      </c>
      <c r="B38" s="6" t="s">
        <v>106</v>
      </c>
      <c r="C38">
        <v>20</v>
      </c>
      <c r="D38">
        <v>0</v>
      </c>
      <c r="E38" s="33">
        <f t="shared" si="0"/>
        <v>20</v>
      </c>
      <c r="F38" s="73">
        <f t="shared" si="1"/>
        <v>1</v>
      </c>
    </row>
    <row r="39" spans="1:6" x14ac:dyDescent="0.2">
      <c r="A39">
        <v>3</v>
      </c>
      <c r="B39" s="6" t="s">
        <v>107</v>
      </c>
      <c r="C39">
        <v>18</v>
      </c>
      <c r="D39">
        <v>1</v>
      </c>
      <c r="E39" s="33">
        <f t="shared" si="0"/>
        <v>19</v>
      </c>
      <c r="F39" s="73">
        <f t="shared" si="1"/>
        <v>0.94736842105263153</v>
      </c>
    </row>
    <row r="40" spans="1:6" x14ac:dyDescent="0.2">
      <c r="A40">
        <v>3</v>
      </c>
      <c r="B40" s="6" t="s">
        <v>108</v>
      </c>
      <c r="C40">
        <v>20</v>
      </c>
      <c r="D40">
        <v>0</v>
      </c>
      <c r="E40" s="33">
        <f t="shared" si="0"/>
        <v>20</v>
      </c>
      <c r="F40" s="73">
        <f t="shared" si="1"/>
        <v>1</v>
      </c>
    </row>
    <row r="41" spans="1:6" x14ac:dyDescent="0.2">
      <c r="A41">
        <v>3</v>
      </c>
      <c r="B41" s="6" t="s">
        <v>109</v>
      </c>
      <c r="C41">
        <v>19</v>
      </c>
      <c r="D41">
        <v>0</v>
      </c>
      <c r="E41" s="33">
        <f t="shared" si="0"/>
        <v>19</v>
      </c>
      <c r="F41" s="73">
        <f t="shared" si="1"/>
        <v>1</v>
      </c>
    </row>
    <row r="42" spans="1:6" x14ac:dyDescent="0.2">
      <c r="A42">
        <v>3</v>
      </c>
      <c r="B42" s="6" t="s">
        <v>110</v>
      </c>
      <c r="C42">
        <v>13</v>
      </c>
      <c r="D42">
        <v>5</v>
      </c>
      <c r="E42" s="33">
        <f t="shared" si="0"/>
        <v>18</v>
      </c>
      <c r="F42" s="73">
        <f t="shared" si="1"/>
        <v>0.72222222222222221</v>
      </c>
    </row>
    <row r="43" spans="1:6" x14ac:dyDescent="0.2">
      <c r="A43">
        <v>3</v>
      </c>
      <c r="B43" s="6" t="s">
        <v>111</v>
      </c>
      <c r="C43">
        <v>11</v>
      </c>
      <c r="D43">
        <v>4</v>
      </c>
      <c r="E43" s="33">
        <f t="shared" si="0"/>
        <v>15</v>
      </c>
      <c r="F43" s="73">
        <f t="shared" si="1"/>
        <v>0.73333333333333328</v>
      </c>
    </row>
    <row r="44" spans="1:6" x14ac:dyDescent="0.2">
      <c r="A44">
        <v>4</v>
      </c>
      <c r="B44" s="6" t="s">
        <v>97</v>
      </c>
      <c r="C44">
        <v>12</v>
      </c>
      <c r="D44">
        <v>7</v>
      </c>
      <c r="E44" s="33">
        <f t="shared" si="0"/>
        <v>19</v>
      </c>
      <c r="F44" s="73">
        <f t="shared" si="1"/>
        <v>0.63157894736842102</v>
      </c>
    </row>
    <row r="45" spans="1:6" x14ac:dyDescent="0.2">
      <c r="A45">
        <v>4</v>
      </c>
      <c r="B45" s="6" t="s">
        <v>98</v>
      </c>
      <c r="C45">
        <v>13</v>
      </c>
      <c r="D45">
        <v>4</v>
      </c>
      <c r="E45" s="33">
        <f t="shared" si="0"/>
        <v>17</v>
      </c>
      <c r="F45" s="73">
        <f t="shared" si="1"/>
        <v>0.76470588235294112</v>
      </c>
    </row>
    <row r="46" spans="1:6" x14ac:dyDescent="0.2">
      <c r="A46">
        <v>4</v>
      </c>
      <c r="B46" s="6" t="s">
        <v>99</v>
      </c>
      <c r="C46">
        <v>17</v>
      </c>
      <c r="D46">
        <v>1</v>
      </c>
      <c r="E46" s="33">
        <f t="shared" si="0"/>
        <v>18</v>
      </c>
      <c r="F46" s="73">
        <f t="shared" si="1"/>
        <v>0.94444444444444442</v>
      </c>
    </row>
    <row r="47" spans="1:6" x14ac:dyDescent="0.2">
      <c r="A47">
        <v>4</v>
      </c>
      <c r="B47" s="6" t="s">
        <v>101</v>
      </c>
      <c r="C47">
        <v>12</v>
      </c>
      <c r="D47">
        <v>5</v>
      </c>
      <c r="E47" s="33">
        <f t="shared" si="0"/>
        <v>17</v>
      </c>
      <c r="F47" s="73">
        <f t="shared" si="1"/>
        <v>0.70588235294117652</v>
      </c>
    </row>
    <row r="48" spans="1:6" x14ac:dyDescent="0.2">
      <c r="A48">
        <v>4</v>
      </c>
      <c r="B48" s="6" t="s">
        <v>102</v>
      </c>
      <c r="C48">
        <v>1</v>
      </c>
      <c r="D48">
        <v>18</v>
      </c>
      <c r="E48" s="33">
        <f t="shared" si="0"/>
        <v>19</v>
      </c>
      <c r="F48" s="73">
        <f t="shared" si="1"/>
        <v>5.2631578947368418E-2</v>
      </c>
    </row>
    <row r="49" spans="1:6" x14ac:dyDescent="0.2">
      <c r="A49">
        <v>4</v>
      </c>
      <c r="B49" s="6" t="s">
        <v>103</v>
      </c>
      <c r="C49">
        <v>13</v>
      </c>
      <c r="D49">
        <v>0</v>
      </c>
      <c r="E49" s="33">
        <f t="shared" si="0"/>
        <v>13</v>
      </c>
      <c r="F49" s="73">
        <f t="shared" si="1"/>
        <v>1</v>
      </c>
    </row>
    <row r="50" spans="1:6" x14ac:dyDescent="0.2">
      <c r="A50">
        <v>4</v>
      </c>
      <c r="B50" s="6" t="s">
        <v>104</v>
      </c>
      <c r="C50">
        <v>16</v>
      </c>
      <c r="D50">
        <v>1</v>
      </c>
      <c r="E50" s="33">
        <f t="shared" si="0"/>
        <v>17</v>
      </c>
      <c r="F50" s="73">
        <f t="shared" si="1"/>
        <v>0.94117647058823528</v>
      </c>
    </row>
    <row r="51" spans="1:6" x14ac:dyDescent="0.2">
      <c r="A51">
        <v>4</v>
      </c>
      <c r="B51" s="6" t="s">
        <v>105</v>
      </c>
      <c r="C51">
        <v>16</v>
      </c>
      <c r="D51">
        <v>2</v>
      </c>
      <c r="E51" s="33">
        <f t="shared" si="0"/>
        <v>18</v>
      </c>
      <c r="F51" s="73">
        <f t="shared" si="1"/>
        <v>0.88888888888888884</v>
      </c>
    </row>
    <row r="52" spans="1:6" x14ac:dyDescent="0.2">
      <c r="A52">
        <v>4</v>
      </c>
      <c r="B52" s="6" t="s">
        <v>106</v>
      </c>
      <c r="C52">
        <v>18</v>
      </c>
      <c r="D52">
        <v>1</v>
      </c>
      <c r="E52" s="33">
        <f t="shared" si="0"/>
        <v>19</v>
      </c>
      <c r="F52" s="73">
        <f t="shared" si="1"/>
        <v>0.94736842105263153</v>
      </c>
    </row>
    <row r="53" spans="1:6" x14ac:dyDescent="0.2">
      <c r="A53">
        <v>4</v>
      </c>
      <c r="B53" s="6" t="s">
        <v>107</v>
      </c>
      <c r="C53">
        <v>17</v>
      </c>
      <c r="D53">
        <v>1</v>
      </c>
      <c r="E53" s="33">
        <f t="shared" si="0"/>
        <v>18</v>
      </c>
      <c r="F53" s="73">
        <f t="shared" si="1"/>
        <v>0.94444444444444442</v>
      </c>
    </row>
    <row r="54" spans="1:6" x14ac:dyDescent="0.2">
      <c r="A54">
        <v>4</v>
      </c>
      <c r="B54" s="6" t="s">
        <v>108</v>
      </c>
      <c r="C54">
        <v>19</v>
      </c>
      <c r="D54">
        <v>0</v>
      </c>
      <c r="E54" s="33">
        <f t="shared" si="0"/>
        <v>19</v>
      </c>
      <c r="F54" s="73">
        <f t="shared" si="1"/>
        <v>1</v>
      </c>
    </row>
    <row r="55" spans="1:6" x14ac:dyDescent="0.2">
      <c r="A55">
        <v>4</v>
      </c>
      <c r="B55" s="6" t="s">
        <v>109</v>
      </c>
      <c r="C55">
        <v>17</v>
      </c>
      <c r="D55">
        <v>1</v>
      </c>
      <c r="E55" s="33">
        <f t="shared" si="0"/>
        <v>18</v>
      </c>
      <c r="F55" s="73">
        <f t="shared" si="1"/>
        <v>0.94444444444444442</v>
      </c>
    </row>
    <row r="56" spans="1:6" x14ac:dyDescent="0.2">
      <c r="A56">
        <v>4</v>
      </c>
      <c r="B56" s="6" t="s">
        <v>110</v>
      </c>
      <c r="C56">
        <v>13</v>
      </c>
      <c r="D56">
        <v>3</v>
      </c>
      <c r="E56" s="33">
        <f t="shared" si="0"/>
        <v>16</v>
      </c>
      <c r="F56" s="73">
        <f t="shared" si="1"/>
        <v>0.8125</v>
      </c>
    </row>
    <row r="57" spans="1:6" x14ac:dyDescent="0.2">
      <c r="A57">
        <v>4</v>
      </c>
      <c r="B57" s="6" t="s">
        <v>111</v>
      </c>
      <c r="C57">
        <v>9</v>
      </c>
      <c r="D57">
        <v>4</v>
      </c>
      <c r="E57" s="33">
        <f t="shared" si="0"/>
        <v>13</v>
      </c>
      <c r="F57" s="73">
        <f t="shared" si="1"/>
        <v>0.69230769230769229</v>
      </c>
    </row>
    <row r="58" spans="1:6" x14ac:dyDescent="0.2">
      <c r="A58">
        <v>7</v>
      </c>
      <c r="B58" s="6" t="s">
        <v>97</v>
      </c>
      <c r="C58">
        <v>9</v>
      </c>
      <c r="D58">
        <v>9</v>
      </c>
      <c r="E58" s="33">
        <f t="shared" si="0"/>
        <v>18</v>
      </c>
      <c r="F58" s="73">
        <f t="shared" si="1"/>
        <v>0.5</v>
      </c>
    </row>
    <row r="59" spans="1:6" x14ac:dyDescent="0.2">
      <c r="A59">
        <v>7</v>
      </c>
      <c r="B59" s="6" t="s">
        <v>98</v>
      </c>
      <c r="C59">
        <v>8</v>
      </c>
      <c r="D59">
        <v>9</v>
      </c>
      <c r="E59" s="33">
        <f t="shared" si="0"/>
        <v>17</v>
      </c>
      <c r="F59" s="73">
        <f t="shared" si="1"/>
        <v>0.47058823529411764</v>
      </c>
    </row>
    <row r="60" spans="1:6" x14ac:dyDescent="0.2">
      <c r="A60">
        <v>7</v>
      </c>
      <c r="B60" s="6" t="s">
        <v>99</v>
      </c>
      <c r="C60">
        <v>15</v>
      </c>
      <c r="D60">
        <v>4</v>
      </c>
      <c r="E60" s="33">
        <f t="shared" si="0"/>
        <v>19</v>
      </c>
      <c r="F60" s="73">
        <f t="shared" si="1"/>
        <v>0.78947368421052633</v>
      </c>
    </row>
    <row r="61" spans="1:6" x14ac:dyDescent="0.2">
      <c r="A61">
        <v>7</v>
      </c>
      <c r="B61" s="6" t="s">
        <v>101</v>
      </c>
      <c r="C61">
        <v>5</v>
      </c>
      <c r="D61">
        <v>10</v>
      </c>
      <c r="E61" s="33">
        <f t="shared" si="0"/>
        <v>15</v>
      </c>
      <c r="F61" s="73">
        <f t="shared" si="1"/>
        <v>0.33333333333333331</v>
      </c>
    </row>
    <row r="62" spans="1:6" x14ac:dyDescent="0.2">
      <c r="A62">
        <v>7</v>
      </c>
      <c r="B62" s="6" t="s">
        <v>102</v>
      </c>
      <c r="C62">
        <v>1</v>
      </c>
      <c r="D62">
        <v>19</v>
      </c>
      <c r="E62" s="33">
        <f t="shared" si="0"/>
        <v>20</v>
      </c>
      <c r="F62" s="73">
        <f t="shared" si="1"/>
        <v>0.05</v>
      </c>
    </row>
    <row r="63" spans="1:6" x14ac:dyDescent="0.2">
      <c r="A63">
        <v>7</v>
      </c>
      <c r="B63" s="6" t="s">
        <v>103</v>
      </c>
      <c r="C63">
        <v>12</v>
      </c>
      <c r="D63">
        <v>1</v>
      </c>
      <c r="E63" s="33">
        <f t="shared" si="0"/>
        <v>13</v>
      </c>
      <c r="F63" s="73">
        <f t="shared" si="1"/>
        <v>0.92307692307692313</v>
      </c>
    </row>
    <row r="64" spans="1:6" x14ac:dyDescent="0.2">
      <c r="A64">
        <v>7</v>
      </c>
      <c r="B64" s="6" t="s">
        <v>104</v>
      </c>
      <c r="C64">
        <v>18</v>
      </c>
      <c r="D64">
        <v>2</v>
      </c>
      <c r="E64" s="33">
        <f t="shared" si="0"/>
        <v>20</v>
      </c>
      <c r="F64" s="73">
        <f t="shared" si="1"/>
        <v>0.9</v>
      </c>
    </row>
    <row r="65" spans="1:6" x14ac:dyDescent="0.2">
      <c r="A65">
        <v>7</v>
      </c>
      <c r="B65" s="6" t="s">
        <v>105</v>
      </c>
      <c r="C65">
        <v>16</v>
      </c>
      <c r="D65">
        <v>2</v>
      </c>
      <c r="E65" s="33">
        <f t="shared" si="0"/>
        <v>18</v>
      </c>
      <c r="F65" s="73">
        <f t="shared" si="1"/>
        <v>0.88888888888888884</v>
      </c>
    </row>
    <row r="66" spans="1:6" x14ac:dyDescent="0.2">
      <c r="A66">
        <v>7</v>
      </c>
      <c r="B66" s="6" t="s">
        <v>106</v>
      </c>
      <c r="C66">
        <v>18</v>
      </c>
      <c r="D66">
        <v>1</v>
      </c>
      <c r="E66" s="33">
        <f t="shared" si="0"/>
        <v>19</v>
      </c>
      <c r="F66" s="73">
        <f t="shared" si="1"/>
        <v>0.94736842105263153</v>
      </c>
    </row>
    <row r="67" spans="1:6" x14ac:dyDescent="0.2">
      <c r="A67">
        <v>7</v>
      </c>
      <c r="B67" s="6" t="s">
        <v>107</v>
      </c>
      <c r="C67">
        <v>18</v>
      </c>
      <c r="D67">
        <v>1</v>
      </c>
      <c r="E67" s="33">
        <f t="shared" ref="E67:E130" si="2">SUM(C67:D67)</f>
        <v>19</v>
      </c>
      <c r="F67" s="73">
        <f t="shared" ref="F67:F129" si="3">C67/E67</f>
        <v>0.94736842105263153</v>
      </c>
    </row>
    <row r="68" spans="1:6" x14ac:dyDescent="0.2">
      <c r="A68">
        <v>7</v>
      </c>
      <c r="B68" s="6" t="s">
        <v>108</v>
      </c>
      <c r="C68">
        <v>17</v>
      </c>
      <c r="D68">
        <v>0</v>
      </c>
      <c r="E68" s="33">
        <f t="shared" si="2"/>
        <v>17</v>
      </c>
      <c r="F68" s="73">
        <f t="shared" si="3"/>
        <v>1</v>
      </c>
    </row>
    <row r="69" spans="1:6" x14ac:dyDescent="0.2">
      <c r="A69">
        <v>7</v>
      </c>
      <c r="B69" s="6" t="s">
        <v>109</v>
      </c>
      <c r="C69">
        <v>18</v>
      </c>
      <c r="D69">
        <v>0</v>
      </c>
      <c r="E69" s="33">
        <f t="shared" si="2"/>
        <v>18</v>
      </c>
      <c r="F69" s="73">
        <f t="shared" si="3"/>
        <v>1</v>
      </c>
    </row>
    <row r="70" spans="1:6" x14ac:dyDescent="0.2">
      <c r="A70">
        <v>7</v>
      </c>
      <c r="B70" s="6" t="s">
        <v>110</v>
      </c>
      <c r="C70">
        <v>9</v>
      </c>
      <c r="D70">
        <v>6</v>
      </c>
      <c r="E70" s="33">
        <f t="shared" si="2"/>
        <v>15</v>
      </c>
      <c r="F70" s="73">
        <f t="shared" si="3"/>
        <v>0.6</v>
      </c>
    </row>
    <row r="71" spans="1:6" x14ac:dyDescent="0.2">
      <c r="A71">
        <v>7</v>
      </c>
      <c r="B71" s="6" t="s">
        <v>111</v>
      </c>
      <c r="C71">
        <v>7</v>
      </c>
      <c r="D71">
        <v>4</v>
      </c>
      <c r="E71" s="33">
        <f t="shared" si="2"/>
        <v>11</v>
      </c>
      <c r="F71" s="73">
        <f t="shared" si="3"/>
        <v>0.63636363636363635</v>
      </c>
    </row>
    <row r="72" spans="1:6" x14ac:dyDescent="0.2">
      <c r="A72">
        <v>14</v>
      </c>
      <c r="B72" s="6" t="s">
        <v>97</v>
      </c>
      <c r="C72">
        <v>5</v>
      </c>
      <c r="D72">
        <v>13</v>
      </c>
      <c r="E72" s="33">
        <f t="shared" si="2"/>
        <v>18</v>
      </c>
      <c r="F72" s="73">
        <f t="shared" si="3"/>
        <v>0.27777777777777779</v>
      </c>
    </row>
    <row r="73" spans="1:6" x14ac:dyDescent="0.2">
      <c r="A73">
        <v>14</v>
      </c>
      <c r="B73" s="6" t="s">
        <v>98</v>
      </c>
      <c r="C73">
        <v>5</v>
      </c>
      <c r="D73">
        <v>12</v>
      </c>
      <c r="E73" s="33">
        <f t="shared" si="2"/>
        <v>17</v>
      </c>
      <c r="F73" s="73">
        <f t="shared" si="3"/>
        <v>0.29411764705882354</v>
      </c>
    </row>
    <row r="74" spans="1:6" x14ac:dyDescent="0.2">
      <c r="A74">
        <v>14</v>
      </c>
      <c r="B74" s="6" t="s">
        <v>99</v>
      </c>
      <c r="C74">
        <v>14</v>
      </c>
      <c r="D74">
        <v>4</v>
      </c>
      <c r="E74" s="33">
        <f t="shared" si="2"/>
        <v>18</v>
      </c>
      <c r="F74" s="73">
        <f t="shared" si="3"/>
        <v>0.77777777777777779</v>
      </c>
    </row>
    <row r="75" spans="1:6" x14ac:dyDescent="0.2">
      <c r="A75">
        <v>14</v>
      </c>
      <c r="B75" s="6" t="s">
        <v>101</v>
      </c>
      <c r="C75">
        <v>2</v>
      </c>
      <c r="D75">
        <v>12</v>
      </c>
      <c r="E75" s="33">
        <f t="shared" si="2"/>
        <v>14</v>
      </c>
      <c r="F75" s="73">
        <f t="shared" si="3"/>
        <v>0.14285714285714285</v>
      </c>
    </row>
    <row r="76" spans="1:6" x14ac:dyDescent="0.2">
      <c r="A76">
        <v>14</v>
      </c>
      <c r="B76" s="6" t="s">
        <v>102</v>
      </c>
      <c r="C76">
        <v>1</v>
      </c>
      <c r="D76">
        <v>19</v>
      </c>
      <c r="E76" s="33">
        <f t="shared" si="2"/>
        <v>20</v>
      </c>
      <c r="F76" s="73">
        <f t="shared" si="3"/>
        <v>0.05</v>
      </c>
    </row>
    <row r="77" spans="1:6" x14ac:dyDescent="0.2">
      <c r="A77">
        <v>14</v>
      </c>
      <c r="B77" s="6" t="s">
        <v>103</v>
      </c>
      <c r="C77">
        <v>12</v>
      </c>
      <c r="D77">
        <v>1</v>
      </c>
      <c r="E77" s="33">
        <f t="shared" si="2"/>
        <v>13</v>
      </c>
      <c r="F77" s="73">
        <f t="shared" si="3"/>
        <v>0.92307692307692313</v>
      </c>
    </row>
    <row r="78" spans="1:6" x14ac:dyDescent="0.2">
      <c r="A78">
        <v>14</v>
      </c>
      <c r="B78" s="6" t="s">
        <v>104</v>
      </c>
      <c r="C78">
        <v>9</v>
      </c>
      <c r="D78">
        <v>11</v>
      </c>
      <c r="E78" s="33">
        <f t="shared" si="2"/>
        <v>20</v>
      </c>
      <c r="F78" s="73">
        <f t="shared" si="3"/>
        <v>0.45</v>
      </c>
    </row>
    <row r="79" spans="1:6" x14ac:dyDescent="0.2">
      <c r="A79">
        <v>14</v>
      </c>
      <c r="B79" s="6" t="s">
        <v>105</v>
      </c>
      <c r="C79">
        <v>13</v>
      </c>
      <c r="D79">
        <v>5</v>
      </c>
      <c r="E79" s="33">
        <f t="shared" si="2"/>
        <v>18</v>
      </c>
      <c r="F79" s="73">
        <f t="shared" si="3"/>
        <v>0.72222222222222221</v>
      </c>
    </row>
    <row r="80" spans="1:6" x14ac:dyDescent="0.2">
      <c r="A80">
        <v>14</v>
      </c>
      <c r="B80" s="6" t="s">
        <v>106</v>
      </c>
      <c r="C80">
        <v>16</v>
      </c>
      <c r="D80">
        <v>2</v>
      </c>
      <c r="E80" s="33">
        <f t="shared" si="2"/>
        <v>18</v>
      </c>
      <c r="F80" s="73">
        <f t="shared" si="3"/>
        <v>0.88888888888888884</v>
      </c>
    </row>
    <row r="81" spans="1:6" x14ac:dyDescent="0.2">
      <c r="A81">
        <v>14</v>
      </c>
      <c r="B81" s="6" t="s">
        <v>107</v>
      </c>
      <c r="C81">
        <v>8</v>
      </c>
      <c r="D81">
        <v>12</v>
      </c>
      <c r="E81" s="33">
        <f t="shared" si="2"/>
        <v>20</v>
      </c>
      <c r="F81" s="73">
        <f t="shared" si="3"/>
        <v>0.4</v>
      </c>
    </row>
    <row r="82" spans="1:6" x14ac:dyDescent="0.2">
      <c r="A82">
        <v>14</v>
      </c>
      <c r="B82" s="6" t="s">
        <v>108</v>
      </c>
      <c r="C82">
        <v>11</v>
      </c>
      <c r="D82">
        <v>8</v>
      </c>
      <c r="E82" s="33">
        <f t="shared" si="2"/>
        <v>19</v>
      </c>
      <c r="F82" s="73">
        <f t="shared" si="3"/>
        <v>0.57894736842105265</v>
      </c>
    </row>
    <row r="83" spans="1:6" x14ac:dyDescent="0.2">
      <c r="A83">
        <v>14</v>
      </c>
      <c r="B83" s="6" t="s">
        <v>109</v>
      </c>
      <c r="C83">
        <v>12</v>
      </c>
      <c r="D83">
        <v>5</v>
      </c>
      <c r="E83" s="33">
        <f t="shared" si="2"/>
        <v>17</v>
      </c>
      <c r="F83" s="73">
        <f t="shared" si="3"/>
        <v>0.70588235294117652</v>
      </c>
    </row>
    <row r="84" spans="1:6" x14ac:dyDescent="0.2">
      <c r="A84">
        <v>14</v>
      </c>
      <c r="B84" s="6" t="s">
        <v>110</v>
      </c>
      <c r="C84">
        <v>2</v>
      </c>
      <c r="D84">
        <v>13</v>
      </c>
      <c r="E84" s="33">
        <f t="shared" si="2"/>
        <v>15</v>
      </c>
      <c r="F84" s="73">
        <f t="shared" si="3"/>
        <v>0.13333333333333333</v>
      </c>
    </row>
    <row r="85" spans="1:6" x14ac:dyDescent="0.2">
      <c r="A85">
        <v>14</v>
      </c>
      <c r="B85" s="6" t="s">
        <v>111</v>
      </c>
      <c r="C85">
        <v>10</v>
      </c>
      <c r="D85">
        <v>4</v>
      </c>
      <c r="E85" s="33">
        <f t="shared" si="2"/>
        <v>14</v>
      </c>
      <c r="F85" s="73">
        <f t="shared" si="3"/>
        <v>0.7142857142857143</v>
      </c>
    </row>
    <row r="86" spans="1:6" x14ac:dyDescent="0.2">
      <c r="A86">
        <v>21</v>
      </c>
      <c r="B86" s="6" t="s">
        <v>97</v>
      </c>
      <c r="C86">
        <v>1</v>
      </c>
      <c r="D86">
        <v>17</v>
      </c>
      <c r="E86" s="33">
        <f t="shared" si="2"/>
        <v>18</v>
      </c>
      <c r="F86" s="73">
        <f t="shared" si="3"/>
        <v>5.5555555555555552E-2</v>
      </c>
    </row>
    <row r="87" spans="1:6" x14ac:dyDescent="0.2">
      <c r="A87">
        <v>21</v>
      </c>
      <c r="B87" s="6" t="s">
        <v>98</v>
      </c>
      <c r="C87">
        <v>4</v>
      </c>
      <c r="D87">
        <v>10</v>
      </c>
      <c r="E87" s="33">
        <f t="shared" si="2"/>
        <v>14</v>
      </c>
      <c r="F87" s="73">
        <f t="shared" si="3"/>
        <v>0.2857142857142857</v>
      </c>
    </row>
    <row r="88" spans="1:6" x14ac:dyDescent="0.2">
      <c r="A88">
        <v>21</v>
      </c>
      <c r="B88" s="6" t="s">
        <v>99</v>
      </c>
      <c r="C88">
        <v>8</v>
      </c>
      <c r="D88">
        <v>9</v>
      </c>
      <c r="E88" s="33">
        <f t="shared" si="2"/>
        <v>17</v>
      </c>
      <c r="F88" s="73">
        <f t="shared" si="3"/>
        <v>0.47058823529411764</v>
      </c>
    </row>
    <row r="89" spans="1:6" x14ac:dyDescent="0.2">
      <c r="A89">
        <v>21</v>
      </c>
      <c r="B89" s="6" t="s">
        <v>101</v>
      </c>
      <c r="C89">
        <v>1</v>
      </c>
      <c r="D89">
        <v>15</v>
      </c>
      <c r="E89" s="33">
        <f t="shared" si="2"/>
        <v>16</v>
      </c>
      <c r="F89" s="73">
        <f t="shared" si="3"/>
        <v>6.25E-2</v>
      </c>
    </row>
    <row r="90" spans="1:6" x14ac:dyDescent="0.2">
      <c r="A90">
        <v>21</v>
      </c>
      <c r="B90" s="6" t="s">
        <v>102</v>
      </c>
      <c r="C90">
        <v>0</v>
      </c>
      <c r="D90">
        <v>19</v>
      </c>
      <c r="E90" s="33">
        <f t="shared" si="2"/>
        <v>19</v>
      </c>
      <c r="F90" s="73">
        <f t="shared" si="3"/>
        <v>0</v>
      </c>
    </row>
    <row r="91" spans="1:6" x14ac:dyDescent="0.2">
      <c r="A91">
        <v>21</v>
      </c>
      <c r="B91" s="6" t="s">
        <v>103</v>
      </c>
      <c r="C91">
        <v>10</v>
      </c>
      <c r="D91">
        <v>3</v>
      </c>
      <c r="E91" s="33">
        <f t="shared" si="2"/>
        <v>13</v>
      </c>
      <c r="F91" s="73">
        <f t="shared" si="3"/>
        <v>0.76923076923076927</v>
      </c>
    </row>
    <row r="92" spans="1:6" x14ac:dyDescent="0.2">
      <c r="A92">
        <v>21</v>
      </c>
      <c r="B92" s="6" t="s">
        <v>104</v>
      </c>
      <c r="C92">
        <v>7</v>
      </c>
      <c r="D92">
        <v>13</v>
      </c>
      <c r="E92" s="33">
        <f t="shared" si="2"/>
        <v>20</v>
      </c>
      <c r="F92" s="73">
        <f t="shared" si="3"/>
        <v>0.35</v>
      </c>
    </row>
    <row r="93" spans="1:6" x14ac:dyDescent="0.2">
      <c r="A93">
        <v>21</v>
      </c>
      <c r="B93" s="6" t="s">
        <v>105</v>
      </c>
      <c r="C93">
        <v>12</v>
      </c>
      <c r="D93">
        <v>4</v>
      </c>
      <c r="E93" s="33">
        <f t="shared" si="2"/>
        <v>16</v>
      </c>
      <c r="F93" s="73">
        <f t="shared" si="3"/>
        <v>0.75</v>
      </c>
    </row>
    <row r="94" spans="1:6" x14ac:dyDescent="0.2">
      <c r="A94">
        <v>21</v>
      </c>
      <c r="B94" s="6" t="s">
        <v>106</v>
      </c>
      <c r="C94">
        <v>11</v>
      </c>
      <c r="D94">
        <v>7</v>
      </c>
      <c r="E94" s="33">
        <f t="shared" si="2"/>
        <v>18</v>
      </c>
      <c r="F94" s="73">
        <f t="shared" si="3"/>
        <v>0.61111111111111116</v>
      </c>
    </row>
    <row r="95" spans="1:6" x14ac:dyDescent="0.2">
      <c r="A95">
        <v>21</v>
      </c>
      <c r="B95" s="6" t="s">
        <v>107</v>
      </c>
      <c r="C95">
        <v>6</v>
      </c>
      <c r="D95">
        <v>12</v>
      </c>
      <c r="E95" s="33">
        <f t="shared" si="2"/>
        <v>18</v>
      </c>
      <c r="F95" s="73">
        <f t="shared" si="3"/>
        <v>0.33333333333333331</v>
      </c>
    </row>
    <row r="96" spans="1:6" x14ac:dyDescent="0.2">
      <c r="A96">
        <v>21</v>
      </c>
      <c r="B96" s="6" t="s">
        <v>108</v>
      </c>
      <c r="C96">
        <v>10</v>
      </c>
      <c r="D96">
        <v>5</v>
      </c>
      <c r="E96" s="33">
        <f t="shared" si="2"/>
        <v>15</v>
      </c>
      <c r="F96" s="73">
        <f t="shared" si="3"/>
        <v>0.66666666666666663</v>
      </c>
    </row>
    <row r="97" spans="1:6" x14ac:dyDescent="0.2">
      <c r="A97">
        <v>21</v>
      </c>
      <c r="B97" s="6" t="s">
        <v>109</v>
      </c>
      <c r="C97">
        <v>8</v>
      </c>
      <c r="D97">
        <v>5</v>
      </c>
      <c r="E97" s="33">
        <f t="shared" si="2"/>
        <v>13</v>
      </c>
      <c r="F97" s="73">
        <f t="shared" si="3"/>
        <v>0.61538461538461542</v>
      </c>
    </row>
    <row r="98" spans="1:6" x14ac:dyDescent="0.2">
      <c r="A98">
        <v>21</v>
      </c>
      <c r="B98" s="6" t="s">
        <v>110</v>
      </c>
      <c r="C98">
        <v>1</v>
      </c>
      <c r="D98">
        <v>16</v>
      </c>
      <c r="E98" s="33">
        <f t="shared" si="2"/>
        <v>17</v>
      </c>
      <c r="F98" s="73">
        <f t="shared" si="3"/>
        <v>5.8823529411764705E-2</v>
      </c>
    </row>
    <row r="99" spans="1:6" x14ac:dyDescent="0.2">
      <c r="A99">
        <v>21</v>
      </c>
      <c r="B99" s="6" t="s">
        <v>111</v>
      </c>
      <c r="C99">
        <v>2</v>
      </c>
      <c r="D99">
        <v>12</v>
      </c>
      <c r="E99" s="33">
        <f t="shared" si="2"/>
        <v>14</v>
      </c>
      <c r="F99" s="73">
        <f t="shared" si="3"/>
        <v>0.14285714285714285</v>
      </c>
    </row>
    <row r="100" spans="1:6" x14ac:dyDescent="0.2">
      <c r="A100">
        <v>28</v>
      </c>
      <c r="B100" s="6" t="s">
        <v>97</v>
      </c>
      <c r="C100">
        <v>1</v>
      </c>
      <c r="D100">
        <v>15</v>
      </c>
      <c r="E100" s="33">
        <f t="shared" si="2"/>
        <v>16</v>
      </c>
      <c r="F100" s="73">
        <f t="shared" si="3"/>
        <v>6.25E-2</v>
      </c>
    </row>
    <row r="101" spans="1:6" x14ac:dyDescent="0.2">
      <c r="A101">
        <v>28</v>
      </c>
      <c r="B101" s="6" t="s">
        <v>98</v>
      </c>
      <c r="C101">
        <v>1</v>
      </c>
      <c r="D101">
        <v>13</v>
      </c>
      <c r="E101" s="33">
        <f t="shared" si="2"/>
        <v>14</v>
      </c>
      <c r="F101" s="73">
        <f t="shared" si="3"/>
        <v>7.1428571428571425E-2</v>
      </c>
    </row>
    <row r="102" spans="1:6" x14ac:dyDescent="0.2">
      <c r="A102">
        <v>28</v>
      </c>
      <c r="B102" s="6" t="s">
        <v>99</v>
      </c>
      <c r="C102">
        <v>6</v>
      </c>
      <c r="D102">
        <v>9</v>
      </c>
      <c r="E102" s="33">
        <f t="shared" si="2"/>
        <v>15</v>
      </c>
      <c r="F102" s="73">
        <f t="shared" si="3"/>
        <v>0.4</v>
      </c>
    </row>
    <row r="103" spans="1:6" x14ac:dyDescent="0.2">
      <c r="A103">
        <v>28</v>
      </c>
      <c r="B103" s="6" t="s">
        <v>101</v>
      </c>
      <c r="C103">
        <v>1</v>
      </c>
      <c r="D103">
        <v>14</v>
      </c>
      <c r="E103" s="33">
        <f t="shared" si="2"/>
        <v>15</v>
      </c>
      <c r="F103" s="73">
        <f t="shared" si="3"/>
        <v>6.6666666666666666E-2</v>
      </c>
    </row>
    <row r="104" spans="1:6" x14ac:dyDescent="0.2">
      <c r="A104">
        <v>28</v>
      </c>
      <c r="B104" s="6" t="s">
        <v>102</v>
      </c>
      <c r="C104">
        <v>0</v>
      </c>
      <c r="D104">
        <v>17</v>
      </c>
      <c r="E104" s="33">
        <f t="shared" si="2"/>
        <v>17</v>
      </c>
      <c r="F104" s="73">
        <f t="shared" si="3"/>
        <v>0</v>
      </c>
    </row>
    <row r="105" spans="1:6" x14ac:dyDescent="0.2">
      <c r="A105">
        <v>28</v>
      </c>
      <c r="B105" s="6" t="s">
        <v>103</v>
      </c>
      <c r="C105">
        <v>10</v>
      </c>
      <c r="D105">
        <v>3</v>
      </c>
      <c r="E105" s="33">
        <f t="shared" si="2"/>
        <v>13</v>
      </c>
      <c r="F105" s="73">
        <f t="shared" si="3"/>
        <v>0.76923076923076927</v>
      </c>
    </row>
    <row r="106" spans="1:6" x14ac:dyDescent="0.2">
      <c r="A106">
        <v>28</v>
      </c>
      <c r="B106" s="6" t="s">
        <v>104</v>
      </c>
      <c r="C106">
        <v>0</v>
      </c>
      <c r="D106">
        <v>18</v>
      </c>
      <c r="E106" s="33">
        <f t="shared" si="2"/>
        <v>18</v>
      </c>
      <c r="F106" s="73">
        <f t="shared" si="3"/>
        <v>0</v>
      </c>
    </row>
    <row r="107" spans="1:6" x14ac:dyDescent="0.2">
      <c r="A107">
        <v>28</v>
      </c>
      <c r="B107" s="6" t="s">
        <v>105</v>
      </c>
      <c r="C107">
        <v>8</v>
      </c>
      <c r="D107">
        <v>8</v>
      </c>
      <c r="E107" s="33">
        <f t="shared" si="2"/>
        <v>16</v>
      </c>
      <c r="F107" s="73">
        <f t="shared" si="3"/>
        <v>0.5</v>
      </c>
    </row>
    <row r="108" spans="1:6" x14ac:dyDescent="0.2">
      <c r="A108">
        <v>28</v>
      </c>
      <c r="B108" s="6" t="s">
        <v>106</v>
      </c>
      <c r="C108">
        <v>9</v>
      </c>
      <c r="D108">
        <v>7</v>
      </c>
      <c r="E108" s="33">
        <f t="shared" si="2"/>
        <v>16</v>
      </c>
      <c r="F108" s="73">
        <f t="shared" si="3"/>
        <v>0.5625</v>
      </c>
    </row>
    <row r="109" spans="1:6" x14ac:dyDescent="0.2">
      <c r="A109">
        <v>28</v>
      </c>
      <c r="B109" s="6" t="s">
        <v>107</v>
      </c>
      <c r="C109">
        <v>1</v>
      </c>
      <c r="D109">
        <v>18</v>
      </c>
      <c r="E109" s="33">
        <f t="shared" si="2"/>
        <v>19</v>
      </c>
      <c r="F109" s="73">
        <f t="shared" si="3"/>
        <v>5.2631578947368418E-2</v>
      </c>
    </row>
    <row r="110" spans="1:6" x14ac:dyDescent="0.2">
      <c r="A110">
        <v>28</v>
      </c>
      <c r="B110" s="6" t="s">
        <v>108</v>
      </c>
      <c r="C110">
        <v>7</v>
      </c>
      <c r="D110">
        <v>5</v>
      </c>
      <c r="E110" s="33">
        <f t="shared" si="2"/>
        <v>12</v>
      </c>
      <c r="F110" s="73">
        <f t="shared" si="3"/>
        <v>0.58333333333333337</v>
      </c>
    </row>
    <row r="111" spans="1:6" x14ac:dyDescent="0.2">
      <c r="A111">
        <v>28</v>
      </c>
      <c r="B111" s="6" t="s">
        <v>109</v>
      </c>
      <c r="C111">
        <v>5</v>
      </c>
      <c r="D111">
        <v>8</v>
      </c>
      <c r="E111" s="33">
        <f t="shared" si="2"/>
        <v>13</v>
      </c>
      <c r="F111" s="73">
        <f t="shared" si="3"/>
        <v>0.38461538461538464</v>
      </c>
    </row>
    <row r="112" spans="1:6" x14ac:dyDescent="0.2">
      <c r="A112">
        <v>28</v>
      </c>
      <c r="B112" s="6" t="s">
        <v>110</v>
      </c>
      <c r="C112">
        <v>1</v>
      </c>
      <c r="D112">
        <v>10</v>
      </c>
      <c r="E112" s="33">
        <f t="shared" si="2"/>
        <v>11</v>
      </c>
      <c r="F112" s="73">
        <f t="shared" si="3"/>
        <v>9.0909090909090912E-2</v>
      </c>
    </row>
    <row r="113" spans="1:6" x14ac:dyDescent="0.2">
      <c r="A113">
        <v>28</v>
      </c>
      <c r="B113" s="6" t="s">
        <v>111</v>
      </c>
      <c r="C113">
        <v>0</v>
      </c>
      <c r="D113">
        <v>11</v>
      </c>
      <c r="E113" s="33">
        <f t="shared" si="2"/>
        <v>11</v>
      </c>
      <c r="F113" s="73">
        <f t="shared" si="3"/>
        <v>0</v>
      </c>
    </row>
    <row r="114" spans="1:6" x14ac:dyDescent="0.2">
      <c r="A114">
        <v>35</v>
      </c>
      <c r="B114" s="6" t="s">
        <v>97</v>
      </c>
      <c r="C114">
        <v>1</v>
      </c>
      <c r="D114">
        <v>15</v>
      </c>
      <c r="E114" s="33">
        <f t="shared" si="2"/>
        <v>16</v>
      </c>
      <c r="F114" s="73">
        <f t="shared" si="3"/>
        <v>6.25E-2</v>
      </c>
    </row>
    <row r="115" spans="1:6" x14ac:dyDescent="0.2">
      <c r="A115">
        <v>35</v>
      </c>
      <c r="B115" s="6" t="s">
        <v>98</v>
      </c>
      <c r="C115">
        <v>0</v>
      </c>
      <c r="D115">
        <v>13</v>
      </c>
      <c r="E115" s="33">
        <f t="shared" si="2"/>
        <v>13</v>
      </c>
      <c r="F115" s="73">
        <f t="shared" si="3"/>
        <v>0</v>
      </c>
    </row>
    <row r="116" spans="1:6" x14ac:dyDescent="0.2">
      <c r="A116">
        <v>35</v>
      </c>
      <c r="B116" s="6" t="s">
        <v>99</v>
      </c>
      <c r="C116">
        <v>5</v>
      </c>
      <c r="D116">
        <v>10</v>
      </c>
      <c r="E116" s="33">
        <f t="shared" si="2"/>
        <v>15</v>
      </c>
      <c r="F116" s="73">
        <f t="shared" si="3"/>
        <v>0.33333333333333331</v>
      </c>
    </row>
    <row r="117" spans="1:6" x14ac:dyDescent="0.2">
      <c r="A117">
        <v>35</v>
      </c>
      <c r="B117" s="6" t="s">
        <v>101</v>
      </c>
      <c r="C117">
        <v>0</v>
      </c>
      <c r="D117">
        <v>16</v>
      </c>
      <c r="E117" s="33">
        <f t="shared" si="2"/>
        <v>16</v>
      </c>
      <c r="F117" s="73">
        <f t="shared" si="3"/>
        <v>0</v>
      </c>
    </row>
    <row r="118" spans="1:6" x14ac:dyDescent="0.2">
      <c r="A118">
        <v>35</v>
      </c>
      <c r="B118" s="6" t="s">
        <v>103</v>
      </c>
      <c r="C118">
        <v>7</v>
      </c>
      <c r="D118">
        <v>6</v>
      </c>
      <c r="E118" s="33">
        <f t="shared" si="2"/>
        <v>13</v>
      </c>
      <c r="F118" s="73">
        <f t="shared" si="3"/>
        <v>0.53846153846153844</v>
      </c>
    </row>
    <row r="119" spans="1:6" x14ac:dyDescent="0.2">
      <c r="A119">
        <v>35</v>
      </c>
      <c r="B119" s="6" t="s">
        <v>104</v>
      </c>
      <c r="C119">
        <v>2</v>
      </c>
      <c r="D119">
        <v>15</v>
      </c>
      <c r="E119" s="33">
        <f t="shared" si="2"/>
        <v>17</v>
      </c>
      <c r="F119" s="73">
        <f t="shared" si="3"/>
        <v>0.11764705882352941</v>
      </c>
    </row>
    <row r="120" spans="1:6" x14ac:dyDescent="0.2">
      <c r="A120">
        <v>35</v>
      </c>
      <c r="B120" s="6" t="s">
        <v>105</v>
      </c>
      <c r="C120">
        <v>6</v>
      </c>
      <c r="D120">
        <v>11</v>
      </c>
      <c r="E120" s="33">
        <f t="shared" si="2"/>
        <v>17</v>
      </c>
      <c r="F120" s="73">
        <f t="shared" si="3"/>
        <v>0.35294117647058826</v>
      </c>
    </row>
    <row r="121" spans="1:6" x14ac:dyDescent="0.2">
      <c r="A121">
        <v>35</v>
      </c>
      <c r="B121" s="6" t="s">
        <v>106</v>
      </c>
      <c r="C121">
        <v>7</v>
      </c>
      <c r="D121">
        <v>7</v>
      </c>
      <c r="E121" s="33">
        <f t="shared" si="2"/>
        <v>14</v>
      </c>
      <c r="F121" s="73">
        <f t="shared" si="3"/>
        <v>0.5</v>
      </c>
    </row>
    <row r="122" spans="1:6" x14ac:dyDescent="0.2">
      <c r="A122">
        <v>35</v>
      </c>
      <c r="B122" s="6" t="s">
        <v>107</v>
      </c>
      <c r="C122">
        <v>1</v>
      </c>
      <c r="D122">
        <v>16</v>
      </c>
      <c r="E122" s="33">
        <f t="shared" si="2"/>
        <v>17</v>
      </c>
      <c r="F122" s="73">
        <f t="shared" si="3"/>
        <v>5.8823529411764705E-2</v>
      </c>
    </row>
    <row r="123" spans="1:6" x14ac:dyDescent="0.2">
      <c r="A123">
        <v>35</v>
      </c>
      <c r="B123" s="6" t="s">
        <v>108</v>
      </c>
      <c r="C123">
        <v>3</v>
      </c>
      <c r="D123">
        <v>9</v>
      </c>
      <c r="E123" s="33">
        <f t="shared" si="2"/>
        <v>12</v>
      </c>
      <c r="F123" s="73">
        <f t="shared" si="3"/>
        <v>0.25</v>
      </c>
    </row>
    <row r="124" spans="1:6" x14ac:dyDescent="0.2">
      <c r="A124">
        <v>35</v>
      </c>
      <c r="B124" s="6" t="s">
        <v>109</v>
      </c>
      <c r="C124">
        <v>2</v>
      </c>
      <c r="D124">
        <v>9</v>
      </c>
      <c r="E124" s="33">
        <f t="shared" si="2"/>
        <v>11</v>
      </c>
      <c r="F124" s="73">
        <f t="shared" si="3"/>
        <v>0.18181818181818182</v>
      </c>
    </row>
    <row r="125" spans="1:6" x14ac:dyDescent="0.2">
      <c r="A125">
        <v>35</v>
      </c>
      <c r="B125" s="6" t="s">
        <v>110</v>
      </c>
      <c r="C125">
        <v>0</v>
      </c>
      <c r="D125">
        <v>13</v>
      </c>
      <c r="E125" s="33">
        <f t="shared" si="2"/>
        <v>13</v>
      </c>
      <c r="F125" s="73">
        <f t="shared" si="3"/>
        <v>0</v>
      </c>
    </row>
    <row r="126" spans="1:6" x14ac:dyDescent="0.2">
      <c r="A126">
        <v>35</v>
      </c>
      <c r="B126" s="6" t="s">
        <v>111</v>
      </c>
      <c r="C126">
        <v>1</v>
      </c>
      <c r="D126">
        <v>10</v>
      </c>
      <c r="E126" s="33">
        <f t="shared" si="2"/>
        <v>11</v>
      </c>
      <c r="F126" s="73">
        <f t="shared" si="3"/>
        <v>9.0909090909090912E-2</v>
      </c>
    </row>
    <row r="127" spans="1:6" x14ac:dyDescent="0.2">
      <c r="A127">
        <v>42</v>
      </c>
      <c r="B127" s="6" t="s">
        <v>104</v>
      </c>
      <c r="C127">
        <v>2</v>
      </c>
      <c r="D127">
        <v>16</v>
      </c>
      <c r="E127" s="104">
        <f t="shared" si="2"/>
        <v>18</v>
      </c>
      <c r="F127" s="73">
        <f t="shared" si="3"/>
        <v>0.1111111111111111</v>
      </c>
    </row>
    <row r="128" spans="1:6" x14ac:dyDescent="0.2">
      <c r="A128">
        <v>42</v>
      </c>
      <c r="B128" s="6" t="s">
        <v>105</v>
      </c>
      <c r="C128">
        <v>4</v>
      </c>
      <c r="D128">
        <v>13</v>
      </c>
      <c r="E128" s="104">
        <f t="shared" si="2"/>
        <v>17</v>
      </c>
      <c r="F128" s="73">
        <f t="shared" si="3"/>
        <v>0.23529411764705882</v>
      </c>
    </row>
    <row r="129" spans="1:6" x14ac:dyDescent="0.2">
      <c r="A129">
        <v>42</v>
      </c>
      <c r="B129" s="6" t="s">
        <v>106</v>
      </c>
      <c r="C129">
        <v>5</v>
      </c>
      <c r="D129">
        <v>12</v>
      </c>
      <c r="E129" s="104">
        <f t="shared" si="2"/>
        <v>17</v>
      </c>
      <c r="F129" s="73">
        <f t="shared" si="3"/>
        <v>0.29411764705882354</v>
      </c>
    </row>
    <row r="130" spans="1:6" x14ac:dyDescent="0.2">
      <c r="A130">
        <v>42</v>
      </c>
      <c r="B130" s="6" t="s">
        <v>107</v>
      </c>
      <c r="C130">
        <v>3</v>
      </c>
      <c r="D130">
        <v>16</v>
      </c>
      <c r="E130" s="104">
        <f t="shared" si="2"/>
        <v>19</v>
      </c>
      <c r="F130" s="73">
        <f t="shared" ref="F130:F132" si="4">C130/E130</f>
        <v>0.15789473684210525</v>
      </c>
    </row>
    <row r="131" spans="1:6" x14ac:dyDescent="0.2">
      <c r="A131">
        <v>42</v>
      </c>
      <c r="B131" s="6" t="s">
        <v>108</v>
      </c>
      <c r="C131">
        <v>0</v>
      </c>
      <c r="D131">
        <v>15</v>
      </c>
      <c r="E131" s="104">
        <f t="shared" ref="E131:E132" si="5">SUM(C131:D131)</f>
        <v>15</v>
      </c>
      <c r="F131" s="73">
        <f t="shared" si="4"/>
        <v>0</v>
      </c>
    </row>
    <row r="132" spans="1:6" x14ac:dyDescent="0.2">
      <c r="A132">
        <v>42</v>
      </c>
      <c r="B132" s="6" t="s">
        <v>109</v>
      </c>
      <c r="C132">
        <v>2</v>
      </c>
      <c r="D132">
        <v>11</v>
      </c>
      <c r="E132" s="118">
        <f t="shared" si="5"/>
        <v>13</v>
      </c>
      <c r="F132" s="73">
        <f t="shared" si="4"/>
        <v>0.15384615384615385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
  <sheetViews>
    <sheetView workbookViewId="0">
      <selection activeCell="D23" sqref="D23"/>
    </sheetView>
  </sheetViews>
  <sheetFormatPr baseColWidth="10" defaultRowHeight="15" x14ac:dyDescent="0.2"/>
  <cols>
    <col min="1" max="1" width="14" bestFit="1" customWidth="1"/>
    <col min="2" max="2" width="15.5" bestFit="1" customWidth="1"/>
    <col min="3" max="3" width="13.83203125" bestFit="1" customWidth="1"/>
    <col min="4" max="4" width="12.83203125" style="33" customWidth="1"/>
  </cols>
  <sheetData>
    <row r="1" spans="1:8" x14ac:dyDescent="0.2">
      <c r="A1" s="12" t="s">
        <v>278</v>
      </c>
      <c r="B1" s="12" t="s">
        <v>269</v>
      </c>
      <c r="C1" s="12" t="s">
        <v>270</v>
      </c>
      <c r="D1" s="12" t="s">
        <v>279</v>
      </c>
      <c r="E1" s="12" t="s">
        <v>271</v>
      </c>
      <c r="F1" s="12" t="s">
        <v>272</v>
      </c>
      <c r="G1" s="12" t="s">
        <v>273</v>
      </c>
      <c r="H1" s="12" t="s">
        <v>274</v>
      </c>
    </row>
    <row r="2" spans="1:8" x14ac:dyDescent="0.2">
      <c r="A2" t="s">
        <v>280</v>
      </c>
      <c r="B2" s="15">
        <v>2</v>
      </c>
      <c r="C2" s="15" t="s">
        <v>17</v>
      </c>
      <c r="D2" s="15" t="e">
        <f>NA()</f>
        <v>#N/A</v>
      </c>
      <c r="E2">
        <f>SUMIFS('1 - Filterpapir SW'!W:W,'1 - Filterpapir SW'!C:C,'5 - All data'!B2,'1 - Filterpapir SW'!D:D,'5 - All data'!C2)+SUMIFS('1 - Filterpapir SW'!X:X,'1 - Filterpapir SW'!C:C,'5 - All data'!B2,'1 - Filterpapir SW'!D:D,'5 - All data'!C2)</f>
        <v>17</v>
      </c>
      <c r="F2">
        <f>SUMIFS('1 - Filterpapir SW'!Y:Y,'1 - Filterpapir SW'!C:C,'5 - All data'!B2,'1 - Filterpapir SW'!D:D,'5 - All data'!C2)+SUMIFS('1 - Filterpapir SW'!Z:Z,'1 - Filterpapir SW'!C:C,'5 - All data'!B2,'1 - Filterpapir SW'!D:D,'5 - All data'!C2)</f>
        <v>1</v>
      </c>
      <c r="G2">
        <f>SUM(E2:F2)</f>
        <v>18</v>
      </c>
      <c r="H2" s="117">
        <f>E2/G2</f>
        <v>0.94444444444444442</v>
      </c>
    </row>
    <row r="3" spans="1:8" x14ac:dyDescent="0.2">
      <c r="A3" s="33" t="s">
        <v>280</v>
      </c>
      <c r="B3" s="15">
        <v>2</v>
      </c>
      <c r="C3" s="15" t="s">
        <v>18</v>
      </c>
      <c r="D3" s="15" t="e">
        <f>NA()</f>
        <v>#N/A</v>
      </c>
      <c r="E3" s="33">
        <f>SUMIFS('1 - Filterpapir SW'!W:W,'1 - Filterpapir SW'!C:C,'5 - All data'!B3,'1 - Filterpapir SW'!D:D,'5 - All data'!C3)+SUMIFS('1 - Filterpapir SW'!X:X,'1 - Filterpapir SW'!C:C,'5 - All data'!B3,'1 - Filterpapir SW'!D:D,'5 - All data'!C3)</f>
        <v>21</v>
      </c>
      <c r="F3" s="33">
        <f>SUMIFS('1 - Filterpapir SW'!Y:Y,'1 - Filterpapir SW'!C:C,'5 - All data'!B3,'1 - Filterpapir SW'!D:D,'5 - All data'!C3)+SUMIFS('1 - Filterpapir SW'!Z:Z,'1 - Filterpapir SW'!C:C,'5 - All data'!B3,'1 - Filterpapir SW'!D:D,'5 - All data'!C3)</f>
        <v>0</v>
      </c>
      <c r="G3" s="33">
        <f t="shared" ref="G3:G10" si="0">SUM(E3:F3)</f>
        <v>21</v>
      </c>
      <c r="H3" s="117">
        <f t="shared" ref="H3:H77" si="1">E3/G3</f>
        <v>1</v>
      </c>
    </row>
    <row r="4" spans="1:8" x14ac:dyDescent="0.2">
      <c r="A4" s="33" t="s">
        <v>280</v>
      </c>
      <c r="B4" s="15">
        <v>2</v>
      </c>
      <c r="C4" s="15" t="s">
        <v>19</v>
      </c>
      <c r="D4" s="15" t="e">
        <f>NA()</f>
        <v>#N/A</v>
      </c>
      <c r="E4" s="33">
        <f>SUMIFS('1 - Filterpapir SW'!W:W,'1 - Filterpapir SW'!C:C,'5 - All data'!B4,'1 - Filterpapir SW'!D:D,'5 - All data'!C4)+SUMIFS('1 - Filterpapir SW'!X:X,'1 - Filterpapir SW'!C:C,'5 - All data'!B4,'1 - Filterpapir SW'!D:D,'5 - All data'!C4)</f>
        <v>20</v>
      </c>
      <c r="F4" s="33">
        <f>SUMIFS('1 - Filterpapir SW'!Y:Y,'1 - Filterpapir SW'!C:C,'5 - All data'!B4,'1 - Filterpapir SW'!D:D,'5 - All data'!C4)+SUMIFS('1 - Filterpapir SW'!Z:Z,'1 - Filterpapir SW'!C:C,'5 - All data'!B4,'1 - Filterpapir SW'!D:D,'5 - All data'!C4)</f>
        <v>0</v>
      </c>
      <c r="G4" s="33">
        <f t="shared" si="0"/>
        <v>20</v>
      </c>
      <c r="H4" s="117">
        <f t="shared" si="1"/>
        <v>1</v>
      </c>
    </row>
    <row r="5" spans="1:8" x14ac:dyDescent="0.2">
      <c r="A5" s="33" t="s">
        <v>280</v>
      </c>
      <c r="B5" s="15">
        <v>2</v>
      </c>
      <c r="C5" s="15" t="s">
        <v>20</v>
      </c>
      <c r="D5" s="15" t="e">
        <f>NA()</f>
        <v>#N/A</v>
      </c>
      <c r="E5" s="33">
        <f>SUMIFS('1 - Filterpapir SW'!W:W,'1 - Filterpapir SW'!C:C,'5 - All data'!B5,'1 - Filterpapir SW'!D:D,'5 - All data'!C5)+SUMIFS('1 - Filterpapir SW'!X:X,'1 - Filterpapir SW'!C:C,'5 - All data'!B5,'1 - Filterpapir SW'!D:D,'5 - All data'!C5)</f>
        <v>17</v>
      </c>
      <c r="F5" s="33">
        <f>SUMIFS('1 - Filterpapir SW'!Y:Y,'1 - Filterpapir SW'!C:C,'5 - All data'!B5,'1 - Filterpapir SW'!D:D,'5 - All data'!C5)+SUMIFS('1 - Filterpapir SW'!Z:Z,'1 - Filterpapir SW'!C:C,'5 - All data'!B5,'1 - Filterpapir SW'!D:D,'5 - All data'!C5)</f>
        <v>0</v>
      </c>
      <c r="G5" s="33">
        <f t="shared" si="0"/>
        <v>17</v>
      </c>
      <c r="H5" s="117">
        <f t="shared" si="1"/>
        <v>1</v>
      </c>
    </row>
    <row r="6" spans="1:8" x14ac:dyDescent="0.2">
      <c r="A6" s="33" t="s">
        <v>280</v>
      </c>
      <c r="B6" s="15">
        <v>2</v>
      </c>
      <c r="C6" s="15" t="s">
        <v>21</v>
      </c>
      <c r="D6" s="15" t="e">
        <f>NA()</f>
        <v>#N/A</v>
      </c>
      <c r="E6" s="33">
        <f>SUMIFS('1 - Filterpapir SW'!W:W,'1 - Filterpapir SW'!C:C,'5 - All data'!B6,'1 - Filterpapir SW'!D:D,'5 - All data'!C6)+SUMIFS('1 - Filterpapir SW'!X:X,'1 - Filterpapir SW'!C:C,'5 - All data'!B6,'1 - Filterpapir SW'!D:D,'5 - All data'!C6)</f>
        <v>23</v>
      </c>
      <c r="F6" s="33">
        <f>SUMIFS('1 - Filterpapir SW'!Y:Y,'1 - Filterpapir SW'!C:C,'5 - All data'!B6,'1 - Filterpapir SW'!D:D,'5 - All data'!C6)+SUMIFS('1 - Filterpapir SW'!Z:Z,'1 - Filterpapir SW'!C:C,'5 - All data'!B6,'1 - Filterpapir SW'!D:D,'5 - All data'!C6)</f>
        <v>0</v>
      </c>
      <c r="G6" s="33">
        <f t="shared" si="0"/>
        <v>23</v>
      </c>
      <c r="H6" s="117">
        <f t="shared" si="1"/>
        <v>1</v>
      </c>
    </row>
    <row r="7" spans="1:8" x14ac:dyDescent="0.2">
      <c r="A7" s="33" t="s">
        <v>280</v>
      </c>
      <c r="B7" s="15">
        <v>2</v>
      </c>
      <c r="C7" s="15" t="s">
        <v>22</v>
      </c>
      <c r="D7" s="15" t="e">
        <f>NA()</f>
        <v>#N/A</v>
      </c>
      <c r="E7" s="33">
        <f>SUMIFS('1 - Filterpapir SW'!W:W,'1 - Filterpapir SW'!C:C,'5 - All data'!B7,'1 - Filterpapir SW'!D:D,'5 - All data'!C7)+SUMIFS('1 - Filterpapir SW'!X:X,'1 - Filterpapir SW'!C:C,'5 - All data'!B7,'1 - Filterpapir SW'!D:D,'5 - All data'!C7)</f>
        <v>18</v>
      </c>
      <c r="F7" s="33">
        <f>SUMIFS('1 - Filterpapir SW'!Y:Y,'1 - Filterpapir SW'!C:C,'5 - All data'!B7,'1 - Filterpapir SW'!D:D,'5 - All data'!C7)+SUMIFS('1 - Filterpapir SW'!Z:Z,'1 - Filterpapir SW'!C:C,'5 - All data'!B7,'1 - Filterpapir SW'!D:D,'5 - All data'!C7)</f>
        <v>1</v>
      </c>
      <c r="G7" s="33">
        <f t="shared" si="0"/>
        <v>19</v>
      </c>
      <c r="H7" s="117">
        <f t="shared" si="1"/>
        <v>0.94736842105263153</v>
      </c>
    </row>
    <row r="8" spans="1:8" x14ac:dyDescent="0.2">
      <c r="A8" s="33" t="s">
        <v>280</v>
      </c>
      <c r="B8" s="15">
        <v>2</v>
      </c>
      <c r="C8" s="15" t="s">
        <v>137</v>
      </c>
      <c r="D8" s="15" t="e">
        <f>NA()</f>
        <v>#N/A</v>
      </c>
      <c r="E8" s="33">
        <f>SUMIFS('1 - Filterpapir SW'!W:W,'1 - Filterpapir SW'!C:C,'5 - All data'!B8,'1 - Filterpapir SW'!D:D,'5 - All data'!C8)+SUMIFS('1 - Filterpapir SW'!X:X,'1 - Filterpapir SW'!C:C,'5 - All data'!B8,'1 - Filterpapir SW'!D:D,'5 - All data'!C8)</f>
        <v>18</v>
      </c>
      <c r="F8" s="33">
        <f>SUMIFS('1 - Filterpapir SW'!Y:Y,'1 - Filterpapir SW'!C:C,'5 - All data'!B8,'1 - Filterpapir SW'!D:D,'5 - All data'!C8)+SUMIFS('1 - Filterpapir SW'!Z:Z,'1 - Filterpapir SW'!C:C,'5 - All data'!B8,'1 - Filterpapir SW'!D:D,'5 - All data'!C8)</f>
        <v>2</v>
      </c>
      <c r="G8" s="33">
        <f t="shared" si="0"/>
        <v>20</v>
      </c>
      <c r="H8" s="117">
        <f t="shared" si="1"/>
        <v>0.9</v>
      </c>
    </row>
    <row r="9" spans="1:8" x14ac:dyDescent="0.2">
      <c r="A9" s="33" t="s">
        <v>280</v>
      </c>
      <c r="B9" s="15">
        <v>2</v>
      </c>
      <c r="C9" s="15" t="s">
        <v>138</v>
      </c>
      <c r="D9" s="15" t="e">
        <f>NA()</f>
        <v>#N/A</v>
      </c>
      <c r="E9" s="33">
        <f>SUMIFS('1 - Filterpapir SW'!W:W,'1 - Filterpapir SW'!C:C,'5 - All data'!B9,'1 - Filterpapir SW'!D:D,'5 - All data'!C9)+SUMIFS('1 - Filterpapir SW'!X:X,'1 - Filterpapir SW'!C:C,'5 - All data'!B9,'1 - Filterpapir SW'!D:D,'5 - All data'!C9)</f>
        <v>12</v>
      </c>
      <c r="F9" s="33">
        <f>SUMIFS('1 - Filterpapir SW'!Y:Y,'1 - Filterpapir SW'!C:C,'5 - All data'!B9,'1 - Filterpapir SW'!D:D,'5 - All data'!C9)+SUMIFS('1 - Filterpapir SW'!Z:Z,'1 - Filterpapir SW'!C:C,'5 - All data'!B9,'1 - Filterpapir SW'!D:D,'5 - All data'!C9)</f>
        <v>3</v>
      </c>
      <c r="G9" s="33">
        <f t="shared" si="0"/>
        <v>15</v>
      </c>
      <c r="H9" s="117">
        <f t="shared" si="1"/>
        <v>0.8</v>
      </c>
    </row>
    <row r="10" spans="1:8" x14ac:dyDescent="0.2">
      <c r="A10" s="33" t="s">
        <v>280</v>
      </c>
      <c r="B10" s="15">
        <v>2</v>
      </c>
      <c r="C10" s="15" t="s">
        <v>139</v>
      </c>
      <c r="D10" s="15" t="e">
        <f>NA()</f>
        <v>#N/A</v>
      </c>
      <c r="E10" s="33">
        <f>SUMIFS('1 - Filterpapir SW'!W:W,'1 - Filterpapir SW'!C:C,'5 - All data'!B10,'1 - Filterpapir SW'!D:D,'5 - All data'!C10)+SUMIFS('1 - Filterpapir SW'!X:X,'1 - Filterpapir SW'!C:C,'5 - All data'!B10,'1 - Filterpapir SW'!D:D,'5 - All data'!C10)</f>
        <v>13</v>
      </c>
      <c r="F10" s="33">
        <f>SUMIFS('1 - Filterpapir SW'!Y:Y,'1 - Filterpapir SW'!C:C,'5 - All data'!B10,'1 - Filterpapir SW'!D:D,'5 - All data'!C10)+SUMIFS('1 - Filterpapir SW'!Z:Z,'1 - Filterpapir SW'!C:C,'5 - All data'!B10,'1 - Filterpapir SW'!D:D,'5 - All data'!C10)</f>
        <v>3</v>
      </c>
      <c r="G10" s="33">
        <f t="shared" si="0"/>
        <v>16</v>
      </c>
      <c r="H10" s="117">
        <f t="shared" si="1"/>
        <v>0.8125</v>
      </c>
    </row>
    <row r="11" spans="1:8" x14ac:dyDescent="0.2">
      <c r="A11" s="33" t="s">
        <v>280</v>
      </c>
      <c r="B11" s="15">
        <v>24</v>
      </c>
      <c r="C11" s="15" t="s">
        <v>25</v>
      </c>
      <c r="D11" s="15" t="e">
        <f>NA()</f>
        <v>#N/A</v>
      </c>
      <c r="E11" s="33">
        <f>SUMIFS('1 - Filterpapir SW'!W:W,'1 - Filterpapir SW'!C:C,'5 - All data'!B11,'1 - Filterpapir SW'!D:D,'5 - All data'!C11)+SUMIFS('1 - Filterpapir SW'!X:X,'1 - Filterpapir SW'!C:C,'5 - All data'!B11,'1 - Filterpapir SW'!D:D,'5 - All data'!C11)</f>
        <v>19</v>
      </c>
      <c r="F11" s="33">
        <f>SUMIFS('1 - Filterpapir SW'!Y:Y,'1 - Filterpapir SW'!C:C,'5 - All data'!B11,'1 - Filterpapir SW'!D:D,'5 - All data'!C11)+SUMIFS('1 - Filterpapir SW'!Z:Z,'1 - Filterpapir SW'!C:C,'5 - All data'!B11,'1 - Filterpapir SW'!D:D,'5 - All data'!C11)</f>
        <v>1</v>
      </c>
      <c r="G11" s="33">
        <f>SUM(E11:F11)</f>
        <v>20</v>
      </c>
      <c r="H11" s="117">
        <f t="shared" si="1"/>
        <v>0.95</v>
      </c>
    </row>
    <row r="12" spans="1:8" x14ac:dyDescent="0.2">
      <c r="A12" s="33" t="s">
        <v>280</v>
      </c>
      <c r="B12" s="15">
        <v>24</v>
      </c>
      <c r="C12" s="15" t="s">
        <v>26</v>
      </c>
      <c r="D12" s="15" t="e">
        <f>NA()</f>
        <v>#N/A</v>
      </c>
      <c r="E12" s="33">
        <f>SUMIFS('1 - Filterpapir SW'!W:W,'1 - Filterpapir SW'!C:C,'5 - All data'!B12,'1 - Filterpapir SW'!D:D,'5 - All data'!C12)+SUMIFS('1 - Filterpapir SW'!X:X,'1 - Filterpapir SW'!C:C,'5 - All data'!B12,'1 - Filterpapir SW'!D:D,'5 - All data'!C12)</f>
        <v>18</v>
      </c>
      <c r="F12" s="33">
        <f>SUMIFS('1 - Filterpapir SW'!Y:Y,'1 - Filterpapir SW'!C:C,'5 - All data'!B12,'1 - Filterpapir SW'!D:D,'5 - All data'!C12)+SUMIFS('1 - Filterpapir SW'!Z:Z,'1 - Filterpapir SW'!C:C,'5 - All data'!B12,'1 - Filterpapir SW'!D:D,'5 - All data'!C12)</f>
        <v>2</v>
      </c>
      <c r="G12" s="33">
        <f t="shared" ref="G12:G19" si="2">SUM(E12:F12)</f>
        <v>20</v>
      </c>
      <c r="H12" s="117">
        <f t="shared" si="1"/>
        <v>0.9</v>
      </c>
    </row>
    <row r="13" spans="1:8" x14ac:dyDescent="0.2">
      <c r="A13" s="33" t="s">
        <v>280</v>
      </c>
      <c r="B13" s="15">
        <v>24</v>
      </c>
      <c r="C13" s="15" t="s">
        <v>27</v>
      </c>
      <c r="D13" s="15" t="e">
        <f>NA()</f>
        <v>#N/A</v>
      </c>
      <c r="E13" s="33">
        <f>SUMIFS('1 - Filterpapir SW'!W:W,'1 - Filterpapir SW'!C:C,'5 - All data'!B13,'1 - Filterpapir SW'!D:D,'5 - All data'!C13)+SUMIFS('1 - Filterpapir SW'!X:X,'1 - Filterpapir SW'!C:C,'5 - All data'!B13,'1 - Filterpapir SW'!D:D,'5 - All data'!C13)</f>
        <v>23</v>
      </c>
      <c r="F13" s="33">
        <f>SUMIFS('1 - Filterpapir SW'!Y:Y,'1 - Filterpapir SW'!C:C,'5 - All data'!B13,'1 - Filterpapir SW'!D:D,'5 - All data'!C13)+SUMIFS('1 - Filterpapir SW'!Z:Z,'1 - Filterpapir SW'!C:C,'5 - All data'!B13,'1 - Filterpapir SW'!D:D,'5 - All data'!C13)</f>
        <v>0</v>
      </c>
      <c r="G13" s="33">
        <f t="shared" si="2"/>
        <v>23</v>
      </c>
      <c r="H13" s="117">
        <f t="shared" si="1"/>
        <v>1</v>
      </c>
    </row>
    <row r="14" spans="1:8" x14ac:dyDescent="0.2">
      <c r="A14" s="33" t="s">
        <v>280</v>
      </c>
      <c r="B14" s="15">
        <v>24</v>
      </c>
      <c r="C14" s="15" t="s">
        <v>28</v>
      </c>
      <c r="D14" s="15" t="e">
        <f>NA()</f>
        <v>#N/A</v>
      </c>
      <c r="E14" s="33">
        <f>SUMIFS('1 - Filterpapir SW'!W:W,'1 - Filterpapir SW'!C:C,'5 - All data'!B14,'1 - Filterpapir SW'!D:D,'5 - All data'!C14)+SUMIFS('1 - Filterpapir SW'!X:X,'1 - Filterpapir SW'!C:C,'5 - All data'!B14,'1 - Filterpapir SW'!D:D,'5 - All data'!C14)</f>
        <v>17</v>
      </c>
      <c r="F14" s="33">
        <f>SUMIFS('1 - Filterpapir SW'!Y:Y,'1 - Filterpapir SW'!C:C,'5 - All data'!B14,'1 - Filterpapir SW'!D:D,'5 - All data'!C14)+SUMIFS('1 - Filterpapir SW'!Z:Z,'1 - Filterpapir SW'!C:C,'5 - All data'!B14,'1 - Filterpapir SW'!D:D,'5 - All data'!C14)</f>
        <v>0</v>
      </c>
      <c r="G14" s="33">
        <f t="shared" si="2"/>
        <v>17</v>
      </c>
      <c r="H14" s="117">
        <f t="shared" si="1"/>
        <v>1</v>
      </c>
    </row>
    <row r="15" spans="1:8" x14ac:dyDescent="0.2">
      <c r="A15" s="33" t="s">
        <v>280</v>
      </c>
      <c r="B15" s="15">
        <v>24</v>
      </c>
      <c r="C15" s="15" t="s">
        <v>29</v>
      </c>
      <c r="D15" s="15" t="e">
        <f>NA()</f>
        <v>#N/A</v>
      </c>
      <c r="E15" s="33">
        <f>SUMIFS('1 - Filterpapir SW'!W:W,'1 - Filterpapir SW'!C:C,'5 - All data'!B15,'1 - Filterpapir SW'!D:D,'5 - All data'!C15)+SUMIFS('1 - Filterpapir SW'!X:X,'1 - Filterpapir SW'!C:C,'5 - All data'!B15,'1 - Filterpapir SW'!D:D,'5 - All data'!C15)</f>
        <v>23</v>
      </c>
      <c r="F15" s="33">
        <f>SUMIFS('1 - Filterpapir SW'!Y:Y,'1 - Filterpapir SW'!C:C,'5 - All data'!B15,'1 - Filterpapir SW'!D:D,'5 - All data'!C15)+SUMIFS('1 - Filterpapir SW'!Z:Z,'1 - Filterpapir SW'!C:C,'5 - All data'!B15,'1 - Filterpapir SW'!D:D,'5 - All data'!C15)</f>
        <v>1</v>
      </c>
      <c r="G15" s="33">
        <f t="shared" si="2"/>
        <v>24</v>
      </c>
      <c r="H15" s="117">
        <f t="shared" si="1"/>
        <v>0.95833333333333337</v>
      </c>
    </row>
    <row r="16" spans="1:8" x14ac:dyDescent="0.2">
      <c r="A16" s="33" t="s">
        <v>280</v>
      </c>
      <c r="B16" s="15">
        <v>24</v>
      </c>
      <c r="C16" s="15" t="s">
        <v>30</v>
      </c>
      <c r="D16" s="15" t="e">
        <f>NA()</f>
        <v>#N/A</v>
      </c>
      <c r="E16" s="33">
        <f>SUMIFS('1 - Filterpapir SW'!W:W,'1 - Filterpapir SW'!C:C,'5 - All data'!B16,'1 - Filterpapir SW'!D:D,'5 - All data'!C16)+SUMIFS('1 - Filterpapir SW'!X:X,'1 - Filterpapir SW'!C:C,'5 - All data'!B16,'1 - Filterpapir SW'!D:D,'5 - All data'!C16)</f>
        <v>20</v>
      </c>
      <c r="F16" s="33">
        <f>SUMIFS('1 - Filterpapir SW'!Y:Y,'1 - Filterpapir SW'!C:C,'5 - All data'!B16,'1 - Filterpapir SW'!D:D,'5 - All data'!C16)+SUMIFS('1 - Filterpapir SW'!Z:Z,'1 - Filterpapir SW'!C:C,'5 - All data'!B16,'1 - Filterpapir SW'!D:D,'5 - All data'!C16)</f>
        <v>0</v>
      </c>
      <c r="G16" s="33">
        <f t="shared" si="2"/>
        <v>20</v>
      </c>
      <c r="H16" s="117">
        <f t="shared" si="1"/>
        <v>1</v>
      </c>
    </row>
    <row r="17" spans="1:8" x14ac:dyDescent="0.2">
      <c r="A17" s="33" t="s">
        <v>280</v>
      </c>
      <c r="B17" s="15">
        <v>24</v>
      </c>
      <c r="C17" s="15" t="s">
        <v>31</v>
      </c>
      <c r="D17" s="15" t="e">
        <f>NA()</f>
        <v>#N/A</v>
      </c>
      <c r="E17" s="33">
        <f>SUMIFS('1 - Filterpapir SW'!W:W,'1 - Filterpapir SW'!C:C,'5 - All data'!B17,'1 - Filterpapir SW'!D:D,'5 - All data'!C17)+SUMIFS('1 - Filterpapir SW'!X:X,'1 - Filterpapir SW'!C:C,'5 - All data'!B17,'1 - Filterpapir SW'!D:D,'5 - All data'!C17)</f>
        <v>23</v>
      </c>
      <c r="F17" s="33">
        <f>SUMIFS('1 - Filterpapir SW'!Y:Y,'1 - Filterpapir SW'!C:C,'5 - All data'!B17,'1 - Filterpapir SW'!D:D,'5 - All data'!C17)+SUMIFS('1 - Filterpapir SW'!Z:Z,'1 - Filterpapir SW'!C:C,'5 - All data'!B17,'1 - Filterpapir SW'!D:D,'5 - All data'!C17)</f>
        <v>0</v>
      </c>
      <c r="G17" s="33">
        <f t="shared" si="2"/>
        <v>23</v>
      </c>
      <c r="H17" s="117">
        <f t="shared" si="1"/>
        <v>1</v>
      </c>
    </row>
    <row r="18" spans="1:8" x14ac:dyDescent="0.2">
      <c r="A18" s="33" t="s">
        <v>280</v>
      </c>
      <c r="B18" s="15">
        <v>24</v>
      </c>
      <c r="C18" s="15" t="s">
        <v>32</v>
      </c>
      <c r="D18" s="15" t="e">
        <f>NA()</f>
        <v>#N/A</v>
      </c>
      <c r="E18" s="33">
        <f>SUMIFS('1 - Filterpapir SW'!W:W,'1 - Filterpapir SW'!C:C,'5 - All data'!B18,'1 - Filterpapir SW'!D:D,'5 - All data'!C18)+SUMIFS('1 - Filterpapir SW'!X:X,'1 - Filterpapir SW'!C:C,'5 - All data'!B18,'1 - Filterpapir SW'!D:D,'5 - All data'!C18)</f>
        <v>15</v>
      </c>
      <c r="F18" s="33">
        <f>SUMIFS('1 - Filterpapir SW'!Y:Y,'1 - Filterpapir SW'!C:C,'5 - All data'!B18,'1 - Filterpapir SW'!D:D,'5 - All data'!C18)+SUMIFS('1 - Filterpapir SW'!Z:Z,'1 - Filterpapir SW'!C:C,'5 - All data'!B18,'1 - Filterpapir SW'!D:D,'5 - All data'!C18)</f>
        <v>0</v>
      </c>
      <c r="G18" s="33">
        <f t="shared" si="2"/>
        <v>15</v>
      </c>
      <c r="H18" s="117">
        <f t="shared" si="1"/>
        <v>1</v>
      </c>
    </row>
    <row r="19" spans="1:8" x14ac:dyDescent="0.2">
      <c r="A19" s="33" t="s">
        <v>280</v>
      </c>
      <c r="B19" s="15">
        <v>48</v>
      </c>
      <c r="C19" s="15" t="s">
        <v>34</v>
      </c>
      <c r="D19" s="15" t="e">
        <f>NA()</f>
        <v>#N/A</v>
      </c>
      <c r="E19" s="33">
        <f>SUMIFS('1 - Filterpapir SW'!W:W,'1 - Filterpapir SW'!C:C,'5 - All data'!B19,'1 - Filterpapir SW'!D:D,'5 - All data'!C19)+SUMIFS('1 - Filterpapir SW'!X:X,'1 - Filterpapir SW'!C:C,'5 - All data'!B19,'1 - Filterpapir SW'!D:D,'5 - All data'!C19)</f>
        <v>16</v>
      </c>
      <c r="F19" s="33">
        <f>SUMIFS('1 - Filterpapir SW'!Y:Y,'1 - Filterpapir SW'!C:C,'5 - All data'!B19,'1 - Filterpapir SW'!D:D,'5 - All data'!C19)+SUMIFS('1 - Filterpapir SW'!Z:Z,'1 - Filterpapir SW'!C:C,'5 - All data'!B19,'1 - Filterpapir SW'!D:D,'5 - All data'!C19)</f>
        <v>1</v>
      </c>
      <c r="G19" s="33">
        <f t="shared" si="2"/>
        <v>17</v>
      </c>
      <c r="H19" s="117">
        <f t="shared" si="1"/>
        <v>0.94117647058823528</v>
      </c>
    </row>
    <row r="20" spans="1:8" x14ac:dyDescent="0.2">
      <c r="A20" s="33" t="s">
        <v>280</v>
      </c>
      <c r="B20" s="15">
        <v>48</v>
      </c>
      <c r="C20" s="15" t="s">
        <v>35</v>
      </c>
      <c r="D20" s="15" t="e">
        <f>NA()</f>
        <v>#N/A</v>
      </c>
      <c r="E20" s="33">
        <f>SUMIFS('1 - Filterpapir SW'!W:W,'1 - Filterpapir SW'!C:C,'5 - All data'!B20,'1 - Filterpapir SW'!D:D,'5 - All data'!C20)+SUMIFS('1 - Filterpapir SW'!X:X,'1 - Filterpapir SW'!C:C,'5 - All data'!B20,'1 - Filterpapir SW'!D:D,'5 - All data'!C20)</f>
        <v>15</v>
      </c>
      <c r="F20" s="33">
        <f>SUMIFS('1 - Filterpapir SW'!Y:Y,'1 - Filterpapir SW'!C:C,'5 - All data'!B20,'1 - Filterpapir SW'!D:D,'5 - All data'!C20)+SUMIFS('1 - Filterpapir SW'!Z:Z,'1 - Filterpapir SW'!C:C,'5 - All data'!B20,'1 - Filterpapir SW'!D:D,'5 - All data'!C20)</f>
        <v>0</v>
      </c>
      <c r="G20" s="33">
        <f>SUM(E20:F20)</f>
        <v>15</v>
      </c>
      <c r="H20" s="117">
        <f t="shared" si="1"/>
        <v>1</v>
      </c>
    </row>
    <row r="21" spans="1:8" x14ac:dyDescent="0.2">
      <c r="A21" s="33" t="s">
        <v>280</v>
      </c>
      <c r="B21" s="15">
        <v>48</v>
      </c>
      <c r="C21" s="15" t="s">
        <v>36</v>
      </c>
      <c r="D21" s="15" t="e">
        <f>NA()</f>
        <v>#N/A</v>
      </c>
      <c r="E21" s="33">
        <f>SUMIFS('1 - Filterpapir SW'!W:W,'1 - Filterpapir SW'!C:C,'5 - All data'!B21,'1 - Filterpapir SW'!D:D,'5 - All data'!C21)+SUMIFS('1 - Filterpapir SW'!X:X,'1 - Filterpapir SW'!C:C,'5 - All data'!B21,'1 - Filterpapir SW'!D:D,'5 - All data'!C21)</f>
        <v>20</v>
      </c>
      <c r="F21" s="33">
        <f>SUMIFS('1 - Filterpapir SW'!Y:Y,'1 - Filterpapir SW'!C:C,'5 - All data'!B21,'1 - Filterpapir SW'!D:D,'5 - All data'!C21)+SUMIFS('1 - Filterpapir SW'!Z:Z,'1 - Filterpapir SW'!C:C,'5 - All data'!B21,'1 - Filterpapir SW'!D:D,'5 - All data'!C21)</f>
        <v>3</v>
      </c>
      <c r="G21" s="33">
        <f t="shared" ref="G21:G28" si="3">SUM(E21:F21)</f>
        <v>23</v>
      </c>
      <c r="H21" s="117">
        <f t="shared" si="1"/>
        <v>0.86956521739130432</v>
      </c>
    </row>
    <row r="22" spans="1:8" x14ac:dyDescent="0.2">
      <c r="A22" s="33" t="s">
        <v>280</v>
      </c>
      <c r="B22" s="15">
        <v>48</v>
      </c>
      <c r="C22" s="15" t="s">
        <v>37</v>
      </c>
      <c r="D22" s="15" t="e">
        <f>NA()</f>
        <v>#N/A</v>
      </c>
      <c r="E22" s="33">
        <f>SUMIFS('1 - Filterpapir SW'!W:W,'1 - Filterpapir SW'!C:C,'5 - All data'!B22,'1 - Filterpapir SW'!D:D,'5 - All data'!C22)+SUMIFS('1 - Filterpapir SW'!X:X,'1 - Filterpapir SW'!C:C,'5 - All data'!B22,'1 - Filterpapir SW'!D:D,'5 - All data'!C22)</f>
        <v>23</v>
      </c>
      <c r="F22" s="33">
        <f>SUMIFS('1 - Filterpapir SW'!Y:Y,'1 - Filterpapir SW'!C:C,'5 - All data'!B22,'1 - Filterpapir SW'!D:D,'5 - All data'!C22)+SUMIFS('1 - Filterpapir SW'!Z:Z,'1 - Filterpapir SW'!C:C,'5 - All data'!B22,'1 - Filterpapir SW'!D:D,'5 - All data'!C22)</f>
        <v>0</v>
      </c>
      <c r="G22" s="33">
        <f t="shared" si="3"/>
        <v>23</v>
      </c>
      <c r="H22" s="117">
        <f t="shared" si="1"/>
        <v>1</v>
      </c>
    </row>
    <row r="23" spans="1:8" x14ac:dyDescent="0.2">
      <c r="A23" s="33" t="s">
        <v>280</v>
      </c>
      <c r="B23" s="15">
        <v>48</v>
      </c>
      <c r="C23" s="15" t="s">
        <v>38</v>
      </c>
      <c r="D23" s="15" t="e">
        <f>NA()</f>
        <v>#N/A</v>
      </c>
      <c r="E23" s="33">
        <f>SUMIFS('1 - Filterpapir SW'!W:W,'1 - Filterpapir SW'!C:C,'5 - All data'!B23,'1 - Filterpapir SW'!D:D,'5 - All data'!C23)+SUMIFS('1 - Filterpapir SW'!X:X,'1 - Filterpapir SW'!C:C,'5 - All data'!B23,'1 - Filterpapir SW'!D:D,'5 - All data'!C23)</f>
        <v>22</v>
      </c>
      <c r="F23" s="33">
        <f>SUMIFS('1 - Filterpapir SW'!Y:Y,'1 - Filterpapir SW'!C:C,'5 - All data'!B23,'1 - Filterpapir SW'!D:D,'5 - All data'!C23)+SUMIFS('1 - Filterpapir SW'!Z:Z,'1 - Filterpapir SW'!C:C,'5 - All data'!B23,'1 - Filterpapir SW'!D:D,'5 - All data'!C23)</f>
        <v>2</v>
      </c>
      <c r="G23" s="33">
        <f t="shared" si="3"/>
        <v>24</v>
      </c>
      <c r="H23" s="117">
        <f t="shared" si="1"/>
        <v>0.91666666666666663</v>
      </c>
    </row>
    <row r="24" spans="1:8" x14ac:dyDescent="0.2">
      <c r="A24" s="33" t="s">
        <v>280</v>
      </c>
      <c r="B24" s="15">
        <v>168</v>
      </c>
      <c r="C24" s="15" t="s">
        <v>42</v>
      </c>
      <c r="D24" s="15" t="e">
        <f>NA()</f>
        <v>#N/A</v>
      </c>
      <c r="E24" s="33">
        <f>SUMIFS('1 - Filterpapir SW'!W:W,'1 - Filterpapir SW'!C:C,'5 - All data'!B24,'1 - Filterpapir SW'!D:D,'5 - All data'!C24)+SUMIFS('1 - Filterpapir SW'!X:X,'1 - Filterpapir SW'!C:C,'5 - All data'!B24,'1 - Filterpapir SW'!D:D,'5 - All data'!C24)</f>
        <v>19</v>
      </c>
      <c r="F24" s="33">
        <f>SUMIFS('1 - Filterpapir SW'!Y:Y,'1 - Filterpapir SW'!C:C,'5 - All data'!B24,'1 - Filterpapir SW'!D:D,'5 - All data'!C24)+SUMIFS('1 - Filterpapir SW'!Z:Z,'1 - Filterpapir SW'!C:C,'5 - All data'!B24,'1 - Filterpapir SW'!D:D,'5 - All data'!C24)</f>
        <v>1</v>
      </c>
      <c r="G24" s="33">
        <f t="shared" si="3"/>
        <v>20</v>
      </c>
      <c r="H24" s="117">
        <f t="shared" si="1"/>
        <v>0.95</v>
      </c>
    </row>
    <row r="25" spans="1:8" x14ac:dyDescent="0.2">
      <c r="A25" s="33" t="s">
        <v>280</v>
      </c>
      <c r="B25" s="15">
        <v>168</v>
      </c>
      <c r="C25" s="15" t="s">
        <v>43</v>
      </c>
      <c r="D25" s="15" t="e">
        <f>NA()</f>
        <v>#N/A</v>
      </c>
      <c r="E25" s="33">
        <f>SUMIFS('1 - Filterpapir SW'!W:W,'1 - Filterpapir SW'!C:C,'5 - All data'!B25,'1 - Filterpapir SW'!D:D,'5 - All data'!C25)+SUMIFS('1 - Filterpapir SW'!X:X,'1 - Filterpapir SW'!C:C,'5 - All data'!B25,'1 - Filterpapir SW'!D:D,'5 - All data'!C25)</f>
        <v>21</v>
      </c>
      <c r="F25" s="33">
        <f>SUMIFS('1 - Filterpapir SW'!Y:Y,'1 - Filterpapir SW'!C:C,'5 - All data'!B25,'1 - Filterpapir SW'!D:D,'5 - All data'!C25)+SUMIFS('1 - Filterpapir SW'!Z:Z,'1 - Filterpapir SW'!C:C,'5 - All data'!B25,'1 - Filterpapir SW'!D:D,'5 - All data'!C25)</f>
        <v>5</v>
      </c>
      <c r="G25" s="33">
        <f t="shared" si="3"/>
        <v>26</v>
      </c>
      <c r="H25" s="117">
        <f t="shared" si="1"/>
        <v>0.80769230769230771</v>
      </c>
    </row>
    <row r="26" spans="1:8" x14ac:dyDescent="0.2">
      <c r="A26" s="33" t="s">
        <v>280</v>
      </c>
      <c r="B26" s="15">
        <v>168</v>
      </c>
      <c r="C26" s="27" t="s">
        <v>44</v>
      </c>
      <c r="D26" s="15" t="e">
        <f>NA()</f>
        <v>#N/A</v>
      </c>
      <c r="E26" s="33">
        <f>SUMIFS('1 - Filterpapir SW'!W:W,'1 - Filterpapir SW'!C:C,'5 - All data'!B26,'1 - Filterpapir SW'!D:D,'5 - All data'!C26)+SUMIFS('1 - Filterpapir SW'!X:X,'1 - Filterpapir SW'!C:C,'5 - All data'!B26,'1 - Filterpapir SW'!D:D,'5 - All data'!C26)</f>
        <v>14</v>
      </c>
      <c r="F26" s="33">
        <f>SUMIFS('1 - Filterpapir SW'!Y:Y,'1 - Filterpapir SW'!C:C,'5 - All data'!B26,'1 - Filterpapir SW'!D:D,'5 - All data'!C26)+SUMIFS('1 - Filterpapir SW'!Z:Z,'1 - Filterpapir SW'!C:C,'5 - All data'!B26,'1 - Filterpapir SW'!D:D,'5 - All data'!C26)</f>
        <v>0</v>
      </c>
      <c r="G26" s="33">
        <f t="shared" si="3"/>
        <v>14</v>
      </c>
      <c r="H26" s="117">
        <f t="shared" si="1"/>
        <v>1</v>
      </c>
    </row>
    <row r="27" spans="1:8" x14ac:dyDescent="0.2">
      <c r="A27" s="33" t="s">
        <v>280</v>
      </c>
      <c r="B27" s="15">
        <v>168</v>
      </c>
      <c r="C27" s="27" t="s">
        <v>45</v>
      </c>
      <c r="D27" s="15" t="e">
        <f>NA()</f>
        <v>#N/A</v>
      </c>
      <c r="E27" s="33">
        <f>SUMIFS('1 - Filterpapir SW'!W:W,'1 - Filterpapir SW'!C:C,'5 - All data'!B27,'1 - Filterpapir SW'!D:D,'5 - All data'!C27)+SUMIFS('1 - Filterpapir SW'!X:X,'1 - Filterpapir SW'!C:C,'5 - All data'!B27,'1 - Filterpapir SW'!D:D,'5 - All data'!C27)</f>
        <v>9</v>
      </c>
      <c r="F27" s="33">
        <f>SUMIFS('1 - Filterpapir SW'!Y:Y,'1 - Filterpapir SW'!C:C,'5 - All data'!B27,'1 - Filterpapir SW'!D:D,'5 - All data'!C27)+SUMIFS('1 - Filterpapir SW'!Z:Z,'1 - Filterpapir SW'!C:C,'5 - All data'!B27,'1 - Filterpapir SW'!D:D,'5 - All data'!C27)</f>
        <v>3</v>
      </c>
      <c r="G27" s="33">
        <f t="shared" si="3"/>
        <v>12</v>
      </c>
      <c r="H27" s="117">
        <f t="shared" si="1"/>
        <v>0.75</v>
      </c>
    </row>
    <row r="28" spans="1:8" x14ac:dyDescent="0.2">
      <c r="A28" s="33" t="s">
        <v>280</v>
      </c>
      <c r="B28" s="15">
        <v>168</v>
      </c>
      <c r="C28" s="15" t="s">
        <v>46</v>
      </c>
      <c r="D28" s="15" t="e">
        <f>NA()</f>
        <v>#N/A</v>
      </c>
      <c r="E28" s="33">
        <f>SUMIFS('1 - Filterpapir SW'!W:W,'1 - Filterpapir SW'!C:C,'5 - All data'!B28,'1 - Filterpapir SW'!D:D,'5 - All data'!C28)+SUMIFS('1 - Filterpapir SW'!X:X,'1 - Filterpapir SW'!C:C,'5 - All data'!B28,'1 - Filterpapir SW'!D:D,'5 - All data'!C28)</f>
        <v>16</v>
      </c>
      <c r="F28" s="33">
        <f>SUMIFS('1 - Filterpapir SW'!Y:Y,'1 - Filterpapir SW'!C:C,'5 - All data'!B28,'1 - Filterpapir SW'!D:D,'5 - All data'!C28)+SUMIFS('1 - Filterpapir SW'!Z:Z,'1 - Filterpapir SW'!C:C,'5 - All data'!B28,'1 - Filterpapir SW'!D:D,'5 - All data'!C28)</f>
        <v>5</v>
      </c>
      <c r="G28" s="33">
        <f t="shared" si="3"/>
        <v>21</v>
      </c>
      <c r="H28" s="117">
        <f t="shared" si="1"/>
        <v>0.76190476190476186</v>
      </c>
    </row>
    <row r="29" spans="1:8" x14ac:dyDescent="0.2">
      <c r="A29" s="33" t="s">
        <v>280</v>
      </c>
      <c r="B29" s="15">
        <v>168</v>
      </c>
      <c r="C29" s="15" t="s">
        <v>47</v>
      </c>
      <c r="D29" s="15" t="e">
        <f>NA()</f>
        <v>#N/A</v>
      </c>
      <c r="E29" s="33">
        <f>SUMIFS('1 - Filterpapir SW'!W:W,'1 - Filterpapir SW'!C:C,'5 - All data'!B29,'1 - Filterpapir SW'!D:D,'5 - All data'!C29)+SUMIFS('1 - Filterpapir SW'!X:X,'1 - Filterpapir SW'!C:C,'5 - All data'!B29,'1 - Filterpapir SW'!D:D,'5 - All data'!C29)</f>
        <v>12</v>
      </c>
      <c r="F29" s="33">
        <f>SUMIFS('1 - Filterpapir SW'!Y:Y,'1 - Filterpapir SW'!C:C,'5 - All data'!B29,'1 - Filterpapir SW'!D:D,'5 - All data'!C29)+SUMIFS('1 - Filterpapir SW'!Z:Z,'1 - Filterpapir SW'!C:C,'5 - All data'!B29,'1 - Filterpapir SW'!D:D,'5 - All data'!C29)</f>
        <v>6</v>
      </c>
      <c r="G29" s="33">
        <f>SUM(E29:F29)</f>
        <v>18</v>
      </c>
      <c r="H29" s="117">
        <f t="shared" si="1"/>
        <v>0.66666666666666663</v>
      </c>
    </row>
    <row r="30" spans="1:8" x14ac:dyDescent="0.2">
      <c r="A30" s="33" t="s">
        <v>280</v>
      </c>
      <c r="B30" s="15">
        <v>336</v>
      </c>
      <c r="C30" s="15" t="s">
        <v>49</v>
      </c>
      <c r="D30" s="15" t="e">
        <f>NA()</f>
        <v>#N/A</v>
      </c>
      <c r="E30" s="33">
        <f>SUMIFS('1 - Filterpapir SW'!W:W,'1 - Filterpapir SW'!C:C,'5 - All data'!B30,'1 - Filterpapir SW'!D:D,'5 - All data'!C30)+SUMIFS('1 - Filterpapir SW'!X:X,'1 - Filterpapir SW'!C:C,'5 - All data'!B30,'1 - Filterpapir SW'!D:D,'5 - All data'!C30)</f>
        <v>16</v>
      </c>
      <c r="F30" s="33">
        <f>SUMIFS('1 - Filterpapir SW'!Y:Y,'1 - Filterpapir SW'!C:C,'5 - All data'!B30,'1 - Filterpapir SW'!D:D,'5 - All data'!C30)+SUMIFS('1 - Filterpapir SW'!Z:Z,'1 - Filterpapir SW'!C:C,'5 - All data'!B30,'1 - Filterpapir SW'!D:D,'5 - All data'!C30)</f>
        <v>2</v>
      </c>
      <c r="G30" s="33">
        <f t="shared" ref="G30:G37" si="4">SUM(E30:F30)</f>
        <v>18</v>
      </c>
      <c r="H30" s="117">
        <f t="shared" si="1"/>
        <v>0.88888888888888884</v>
      </c>
    </row>
    <row r="31" spans="1:8" x14ac:dyDescent="0.2">
      <c r="A31" s="33" t="s">
        <v>280</v>
      </c>
      <c r="B31" s="15">
        <v>336</v>
      </c>
      <c r="C31" s="15" t="s">
        <v>50</v>
      </c>
      <c r="D31" s="15" t="e">
        <f>NA()</f>
        <v>#N/A</v>
      </c>
      <c r="E31" s="33">
        <f>SUMIFS('1 - Filterpapir SW'!W:W,'1 - Filterpapir SW'!C:C,'5 - All data'!B31,'1 - Filterpapir SW'!D:D,'5 - All data'!C31)+SUMIFS('1 - Filterpapir SW'!X:X,'1 - Filterpapir SW'!C:C,'5 - All data'!B31,'1 - Filterpapir SW'!D:D,'5 - All data'!C31)</f>
        <v>16</v>
      </c>
      <c r="F31" s="33">
        <f>SUMIFS('1 - Filterpapir SW'!Y:Y,'1 - Filterpapir SW'!C:C,'5 - All data'!B31,'1 - Filterpapir SW'!D:D,'5 - All data'!C31)+SUMIFS('1 - Filterpapir SW'!Z:Z,'1 - Filterpapir SW'!C:C,'5 - All data'!B31,'1 - Filterpapir SW'!D:D,'5 - All data'!C31)</f>
        <v>3</v>
      </c>
      <c r="G31" s="33">
        <f t="shared" si="4"/>
        <v>19</v>
      </c>
      <c r="H31" s="117">
        <f t="shared" si="1"/>
        <v>0.84210526315789469</v>
      </c>
    </row>
    <row r="32" spans="1:8" x14ac:dyDescent="0.2">
      <c r="A32" s="33" t="s">
        <v>280</v>
      </c>
      <c r="B32" s="15">
        <v>336</v>
      </c>
      <c r="C32" s="15" t="s">
        <v>51</v>
      </c>
      <c r="D32" s="15" t="e">
        <f>NA()</f>
        <v>#N/A</v>
      </c>
      <c r="E32" s="33">
        <f>SUMIFS('1 - Filterpapir SW'!W:W,'1 - Filterpapir SW'!C:C,'5 - All data'!B32,'1 - Filterpapir SW'!D:D,'5 - All data'!C32)+SUMIFS('1 - Filterpapir SW'!X:X,'1 - Filterpapir SW'!C:C,'5 - All data'!B32,'1 - Filterpapir SW'!D:D,'5 - All data'!C32)</f>
        <v>18</v>
      </c>
      <c r="F32" s="33">
        <f>SUMIFS('1 - Filterpapir SW'!Y:Y,'1 - Filterpapir SW'!C:C,'5 - All data'!B32,'1 - Filterpapir SW'!D:D,'5 - All data'!C32)+SUMIFS('1 - Filterpapir SW'!Z:Z,'1 - Filterpapir SW'!C:C,'5 - All data'!B32,'1 - Filterpapir SW'!D:D,'5 - All data'!C32)</f>
        <v>2</v>
      </c>
      <c r="G32" s="33">
        <f t="shared" si="4"/>
        <v>20</v>
      </c>
      <c r="H32" s="117">
        <f t="shared" si="1"/>
        <v>0.9</v>
      </c>
    </row>
    <row r="33" spans="1:8" x14ac:dyDescent="0.2">
      <c r="A33" s="33" t="s">
        <v>280</v>
      </c>
      <c r="B33" s="15">
        <v>336</v>
      </c>
      <c r="C33" s="15" t="s">
        <v>52</v>
      </c>
      <c r="D33" s="15" t="e">
        <f>NA()</f>
        <v>#N/A</v>
      </c>
      <c r="E33" s="33">
        <f>SUMIFS('1 - Filterpapir SW'!W:W,'1 - Filterpapir SW'!C:C,'5 - All data'!B33,'1 - Filterpapir SW'!D:D,'5 - All data'!C33)+SUMIFS('1 - Filterpapir SW'!X:X,'1 - Filterpapir SW'!C:C,'5 - All data'!B33,'1 - Filterpapir SW'!D:D,'5 - All data'!C33)</f>
        <v>16</v>
      </c>
      <c r="F33" s="33">
        <f>SUMIFS('1 - Filterpapir SW'!Y:Y,'1 - Filterpapir SW'!C:C,'5 - All data'!B33,'1 - Filterpapir SW'!D:D,'5 - All data'!C33)+SUMIFS('1 - Filterpapir SW'!Z:Z,'1 - Filterpapir SW'!C:C,'5 - All data'!B33,'1 - Filterpapir SW'!D:D,'5 - All data'!C33)</f>
        <v>4</v>
      </c>
      <c r="G33" s="33">
        <f t="shared" si="4"/>
        <v>20</v>
      </c>
      <c r="H33" s="117">
        <f t="shared" si="1"/>
        <v>0.8</v>
      </c>
    </row>
    <row r="34" spans="1:8" x14ac:dyDescent="0.2">
      <c r="A34" s="33" t="s">
        <v>280</v>
      </c>
      <c r="B34" s="15">
        <v>336</v>
      </c>
      <c r="C34" s="15" t="s">
        <v>53</v>
      </c>
      <c r="D34" s="15" t="e">
        <f>NA()</f>
        <v>#N/A</v>
      </c>
      <c r="E34" s="33">
        <f>SUMIFS('1 - Filterpapir SW'!W:W,'1 - Filterpapir SW'!C:C,'5 - All data'!B34,'1 - Filterpapir SW'!D:D,'5 - All data'!C34)+SUMIFS('1 - Filterpapir SW'!X:X,'1 - Filterpapir SW'!C:C,'5 - All data'!B34,'1 - Filterpapir SW'!D:D,'5 - All data'!C34)</f>
        <v>20</v>
      </c>
      <c r="F34" s="33">
        <f>SUMIFS('1 - Filterpapir SW'!Y:Y,'1 - Filterpapir SW'!C:C,'5 - All data'!B34,'1 - Filterpapir SW'!D:D,'5 - All data'!C34)+SUMIFS('1 - Filterpapir SW'!Z:Z,'1 - Filterpapir SW'!C:C,'5 - All data'!B34,'1 - Filterpapir SW'!D:D,'5 - All data'!C34)</f>
        <v>5</v>
      </c>
      <c r="G34" s="33">
        <f t="shared" si="4"/>
        <v>25</v>
      </c>
      <c r="H34" s="117">
        <f t="shared" si="1"/>
        <v>0.8</v>
      </c>
    </row>
    <row r="35" spans="1:8" x14ac:dyDescent="0.2">
      <c r="A35" s="33" t="s">
        <v>280</v>
      </c>
      <c r="B35" s="15">
        <v>336</v>
      </c>
      <c r="C35" s="15" t="s">
        <v>54</v>
      </c>
      <c r="D35" s="15" t="e">
        <f>NA()</f>
        <v>#N/A</v>
      </c>
      <c r="E35" s="33">
        <f>SUMIFS('1 - Filterpapir SW'!W:W,'1 - Filterpapir SW'!C:C,'5 - All data'!B35,'1 - Filterpapir SW'!D:D,'5 - All data'!C35)+SUMIFS('1 - Filterpapir SW'!X:X,'1 - Filterpapir SW'!C:C,'5 - All data'!B35,'1 - Filterpapir SW'!D:D,'5 - All data'!C35)</f>
        <v>15</v>
      </c>
      <c r="F35" s="33">
        <f>SUMIFS('1 - Filterpapir SW'!Y:Y,'1 - Filterpapir SW'!C:C,'5 - All data'!B35,'1 - Filterpapir SW'!D:D,'5 - All data'!C35)+SUMIFS('1 - Filterpapir SW'!Z:Z,'1 - Filterpapir SW'!C:C,'5 - All data'!B35,'1 - Filterpapir SW'!D:D,'5 - All data'!C35)</f>
        <v>6</v>
      </c>
      <c r="G35" s="33">
        <f t="shared" si="4"/>
        <v>21</v>
      </c>
      <c r="H35" s="117">
        <f t="shared" si="1"/>
        <v>0.7142857142857143</v>
      </c>
    </row>
    <row r="36" spans="1:8" x14ac:dyDescent="0.2">
      <c r="A36" s="33" t="s">
        <v>280</v>
      </c>
      <c r="B36" s="15">
        <v>672</v>
      </c>
      <c r="C36" s="15" t="s">
        <v>56</v>
      </c>
      <c r="D36" s="15" t="e">
        <f>NA()</f>
        <v>#N/A</v>
      </c>
      <c r="E36" s="33">
        <f>SUMIFS('1 - Filterpapir SW'!W:W,'1 - Filterpapir SW'!C:C,'5 - All data'!B36,'1 - Filterpapir SW'!D:D,'5 - All data'!C36)+SUMIFS('1 - Filterpapir SW'!X:X,'1 - Filterpapir SW'!C:C,'5 - All data'!B36,'1 - Filterpapir SW'!D:D,'5 - All data'!C36)</f>
        <v>26</v>
      </c>
      <c r="F36" s="33">
        <f>SUMIFS('1 - Filterpapir SW'!Y:Y,'1 - Filterpapir SW'!C:C,'5 - All data'!B36,'1 - Filterpapir SW'!D:D,'5 - All data'!C36)+SUMIFS('1 - Filterpapir SW'!Z:Z,'1 - Filterpapir SW'!C:C,'5 - All data'!B36,'1 - Filterpapir SW'!D:D,'5 - All data'!C36)</f>
        <v>0</v>
      </c>
      <c r="G36" s="33">
        <f t="shared" si="4"/>
        <v>26</v>
      </c>
      <c r="H36" s="117">
        <f t="shared" si="1"/>
        <v>1</v>
      </c>
    </row>
    <row r="37" spans="1:8" x14ac:dyDescent="0.2">
      <c r="A37" s="33" t="s">
        <v>280</v>
      </c>
      <c r="B37" s="15">
        <v>672</v>
      </c>
      <c r="C37" s="15" t="s">
        <v>57</v>
      </c>
      <c r="D37" s="15" t="e">
        <f>NA()</f>
        <v>#N/A</v>
      </c>
      <c r="E37" s="33">
        <f>SUMIFS('1 - Filterpapir SW'!W:W,'1 - Filterpapir SW'!C:C,'5 - All data'!B37,'1 - Filterpapir SW'!D:D,'5 - All data'!C37)+SUMIFS('1 - Filterpapir SW'!X:X,'1 - Filterpapir SW'!C:C,'5 - All data'!B37,'1 - Filterpapir SW'!D:D,'5 - All data'!C37)</f>
        <v>24</v>
      </c>
      <c r="F37" s="33">
        <f>SUMIFS('1 - Filterpapir SW'!Y:Y,'1 - Filterpapir SW'!C:C,'5 - All data'!B37,'1 - Filterpapir SW'!D:D,'5 - All data'!C37)+SUMIFS('1 - Filterpapir SW'!Z:Z,'1 - Filterpapir SW'!C:C,'5 - All data'!B37,'1 - Filterpapir SW'!D:D,'5 - All data'!C37)</f>
        <v>0</v>
      </c>
      <c r="G37" s="33">
        <f t="shared" si="4"/>
        <v>24</v>
      </c>
      <c r="H37" s="117">
        <f t="shared" si="1"/>
        <v>1</v>
      </c>
    </row>
    <row r="38" spans="1:8" x14ac:dyDescent="0.2">
      <c r="A38" s="33" t="s">
        <v>280</v>
      </c>
      <c r="B38" s="15">
        <v>672</v>
      </c>
      <c r="C38" s="15" t="s">
        <v>58</v>
      </c>
      <c r="D38" s="15" t="e">
        <f>NA()</f>
        <v>#N/A</v>
      </c>
      <c r="E38" s="33">
        <f>SUMIFS('1 - Filterpapir SW'!W:W,'1 - Filterpapir SW'!C:C,'5 - All data'!B38,'1 - Filterpapir SW'!D:D,'5 - All data'!C38)+SUMIFS('1 - Filterpapir SW'!X:X,'1 - Filterpapir SW'!C:C,'5 - All data'!B38,'1 - Filterpapir SW'!D:D,'5 - All data'!C38)</f>
        <v>18</v>
      </c>
      <c r="F38" s="33">
        <f>SUMIFS('1 - Filterpapir SW'!Y:Y,'1 - Filterpapir SW'!C:C,'5 - All data'!B38,'1 - Filterpapir SW'!D:D,'5 - All data'!C38)+SUMIFS('1 - Filterpapir SW'!Z:Z,'1 - Filterpapir SW'!C:C,'5 - All data'!B38,'1 - Filterpapir SW'!D:D,'5 - All data'!C38)</f>
        <v>1</v>
      </c>
      <c r="G38" s="33">
        <f>SUM(E38:F38)</f>
        <v>19</v>
      </c>
      <c r="H38" s="117">
        <f t="shared" si="1"/>
        <v>0.94736842105263153</v>
      </c>
    </row>
    <row r="39" spans="1:8" x14ac:dyDescent="0.2">
      <c r="A39" s="33" t="s">
        <v>280</v>
      </c>
      <c r="B39" s="15">
        <v>672</v>
      </c>
      <c r="C39" s="15" t="s">
        <v>59</v>
      </c>
      <c r="D39" s="15" t="e">
        <f>NA()</f>
        <v>#N/A</v>
      </c>
      <c r="E39" s="33">
        <f>SUMIFS('1 - Filterpapir SW'!W:W,'1 - Filterpapir SW'!C:C,'5 - All data'!B39,'1 - Filterpapir SW'!D:D,'5 - All data'!C39)+SUMIFS('1 - Filterpapir SW'!X:X,'1 - Filterpapir SW'!C:C,'5 - All data'!B39,'1 - Filterpapir SW'!D:D,'5 - All data'!C39)</f>
        <v>23</v>
      </c>
      <c r="F39" s="33">
        <f>SUMIFS('1 - Filterpapir SW'!Y:Y,'1 - Filterpapir SW'!C:C,'5 - All data'!B39,'1 - Filterpapir SW'!D:D,'5 - All data'!C39)+SUMIFS('1 - Filterpapir SW'!Z:Z,'1 - Filterpapir SW'!C:C,'5 - All data'!B39,'1 - Filterpapir SW'!D:D,'5 - All data'!C39)</f>
        <v>1</v>
      </c>
      <c r="G39" s="33">
        <f t="shared" ref="G39:G46" si="5">SUM(E39:F39)</f>
        <v>24</v>
      </c>
      <c r="H39" s="117">
        <f t="shared" si="1"/>
        <v>0.95833333333333337</v>
      </c>
    </row>
    <row r="40" spans="1:8" x14ac:dyDescent="0.2">
      <c r="A40" s="33" t="s">
        <v>280</v>
      </c>
      <c r="B40" s="15">
        <v>672</v>
      </c>
      <c r="C40" s="15" t="s">
        <v>60</v>
      </c>
      <c r="D40" s="15" t="e">
        <f>NA()</f>
        <v>#N/A</v>
      </c>
      <c r="E40" s="33">
        <f>SUMIFS('1 - Filterpapir SW'!W:W,'1 - Filterpapir SW'!C:C,'5 - All data'!B40,'1 - Filterpapir SW'!D:D,'5 - All data'!C40)+SUMIFS('1 - Filterpapir SW'!X:X,'1 - Filterpapir SW'!C:C,'5 - All data'!B40,'1 - Filterpapir SW'!D:D,'5 - All data'!C40)</f>
        <v>21</v>
      </c>
      <c r="F40" s="33">
        <f>SUMIFS('1 - Filterpapir SW'!Y:Y,'1 - Filterpapir SW'!C:C,'5 - All data'!B40,'1 - Filterpapir SW'!D:D,'5 - All data'!C40)+SUMIFS('1 - Filterpapir SW'!Z:Z,'1 - Filterpapir SW'!C:C,'5 - All data'!B40,'1 - Filterpapir SW'!D:D,'5 - All data'!C40)</f>
        <v>0</v>
      </c>
      <c r="G40" s="33">
        <f t="shared" si="5"/>
        <v>21</v>
      </c>
      <c r="H40" s="117">
        <f t="shared" si="1"/>
        <v>1</v>
      </c>
    </row>
    <row r="41" spans="1:8" x14ac:dyDescent="0.2">
      <c r="A41" s="33" t="s">
        <v>280</v>
      </c>
      <c r="B41" s="15">
        <v>672</v>
      </c>
      <c r="C41" s="15" t="s">
        <v>61</v>
      </c>
      <c r="D41" s="15" t="e">
        <f>NA()</f>
        <v>#N/A</v>
      </c>
      <c r="E41" s="33">
        <f>SUMIFS('1 - Filterpapir SW'!W:W,'1 - Filterpapir SW'!C:C,'5 - All data'!B41,'1 - Filterpapir SW'!D:D,'5 - All data'!C41)+SUMIFS('1 - Filterpapir SW'!X:X,'1 - Filterpapir SW'!C:C,'5 - All data'!B41,'1 - Filterpapir SW'!D:D,'5 - All data'!C41)</f>
        <v>20</v>
      </c>
      <c r="F41" s="33">
        <f>SUMIFS('1 - Filterpapir SW'!Y:Y,'1 - Filterpapir SW'!C:C,'5 - All data'!B41,'1 - Filterpapir SW'!D:D,'5 - All data'!C41)+SUMIFS('1 - Filterpapir SW'!Z:Z,'1 - Filterpapir SW'!C:C,'5 - All data'!B41,'1 - Filterpapir SW'!D:D,'5 - All data'!C41)</f>
        <v>1</v>
      </c>
      <c r="G41" s="33">
        <f t="shared" si="5"/>
        <v>21</v>
      </c>
      <c r="H41" s="117">
        <f t="shared" si="1"/>
        <v>0.95238095238095233</v>
      </c>
    </row>
    <row r="42" spans="1:8" x14ac:dyDescent="0.2">
      <c r="A42" s="33" t="s">
        <v>280</v>
      </c>
      <c r="B42" s="15">
        <v>672</v>
      </c>
      <c r="C42" s="15" t="s">
        <v>62</v>
      </c>
      <c r="D42" s="15" t="e">
        <f>NA()</f>
        <v>#N/A</v>
      </c>
      <c r="E42" s="33">
        <f>SUMIFS('1 - Filterpapir SW'!W:W,'1 - Filterpapir SW'!C:C,'5 - All data'!B42,'1 - Filterpapir SW'!D:D,'5 - All data'!C42)+SUMIFS('1 - Filterpapir SW'!X:X,'1 - Filterpapir SW'!C:C,'5 - All data'!B42,'1 - Filterpapir SW'!D:D,'5 - All data'!C42)</f>
        <v>20</v>
      </c>
      <c r="F42" s="33">
        <f>SUMIFS('1 - Filterpapir SW'!Y:Y,'1 - Filterpapir SW'!C:C,'5 - All data'!B42,'1 - Filterpapir SW'!D:D,'5 - All data'!C42)+SUMIFS('1 - Filterpapir SW'!Z:Z,'1 - Filterpapir SW'!C:C,'5 - All data'!B42,'1 - Filterpapir SW'!D:D,'5 - All data'!C42)</f>
        <v>0</v>
      </c>
      <c r="G42" s="33">
        <f t="shared" si="5"/>
        <v>20</v>
      </c>
      <c r="H42" s="117">
        <f t="shared" si="1"/>
        <v>1</v>
      </c>
    </row>
    <row r="43" spans="1:8" x14ac:dyDescent="0.2">
      <c r="A43" s="33" t="s">
        <v>280</v>
      </c>
      <c r="B43" s="15">
        <v>672</v>
      </c>
      <c r="C43" s="15" t="s">
        <v>63</v>
      </c>
      <c r="D43" s="15" t="e">
        <f>NA()</f>
        <v>#N/A</v>
      </c>
      <c r="E43" s="33">
        <f>SUMIFS('1 - Filterpapir SW'!W:W,'1 - Filterpapir SW'!C:C,'5 - All data'!B43,'1 - Filterpapir SW'!D:D,'5 - All data'!C43)+SUMIFS('1 - Filterpapir SW'!X:X,'1 - Filterpapir SW'!C:C,'5 - All data'!B43,'1 - Filterpapir SW'!D:D,'5 - All data'!C43)</f>
        <v>23</v>
      </c>
      <c r="F43" s="33">
        <f>SUMIFS('1 - Filterpapir SW'!Y:Y,'1 - Filterpapir SW'!C:C,'5 - All data'!B43,'1 - Filterpapir SW'!D:D,'5 - All data'!C43)+SUMIFS('1 - Filterpapir SW'!Z:Z,'1 - Filterpapir SW'!C:C,'5 - All data'!B43,'1 - Filterpapir SW'!D:D,'5 - All data'!C43)</f>
        <v>2</v>
      </c>
      <c r="G43" s="33">
        <f t="shared" si="5"/>
        <v>25</v>
      </c>
      <c r="H43" s="117">
        <f t="shared" si="1"/>
        <v>0.92</v>
      </c>
    </row>
    <row r="44" spans="1:8" x14ac:dyDescent="0.2">
      <c r="A44" s="33" t="s">
        <v>280</v>
      </c>
      <c r="B44" s="15">
        <v>672</v>
      </c>
      <c r="C44" s="15" t="s">
        <v>64</v>
      </c>
      <c r="D44" s="15" t="e">
        <f>NA()</f>
        <v>#N/A</v>
      </c>
      <c r="E44" s="33">
        <f>SUMIFS('1 - Filterpapir SW'!W:W,'1 - Filterpapir SW'!C:C,'5 - All data'!B44,'1 - Filterpapir SW'!D:D,'5 - All data'!C44)+SUMIFS('1 - Filterpapir SW'!X:X,'1 - Filterpapir SW'!C:C,'5 - All data'!B44,'1 - Filterpapir SW'!D:D,'5 - All data'!C44)</f>
        <v>19</v>
      </c>
      <c r="F44" s="33">
        <f>SUMIFS('1 - Filterpapir SW'!Y:Y,'1 - Filterpapir SW'!C:C,'5 - All data'!B44,'1 - Filterpapir SW'!D:D,'5 - All data'!C44)+SUMIFS('1 - Filterpapir SW'!Z:Z,'1 - Filterpapir SW'!C:C,'5 - All data'!B44,'1 - Filterpapir SW'!D:D,'5 - All data'!C44)</f>
        <v>0</v>
      </c>
      <c r="G44" s="33">
        <f t="shared" si="5"/>
        <v>19</v>
      </c>
      <c r="H44" s="117">
        <f t="shared" si="1"/>
        <v>1</v>
      </c>
    </row>
    <row r="45" spans="1:8" x14ac:dyDescent="0.2">
      <c r="A45" s="33" t="s">
        <v>280</v>
      </c>
      <c r="B45" s="15">
        <v>672</v>
      </c>
      <c r="C45" s="15" t="s">
        <v>65</v>
      </c>
      <c r="D45" s="15" t="e">
        <f>NA()</f>
        <v>#N/A</v>
      </c>
      <c r="E45" s="33">
        <f>SUMIFS('1 - Filterpapir SW'!W:W,'1 - Filterpapir SW'!C:C,'5 - All data'!B45,'1 - Filterpapir SW'!D:D,'5 - All data'!C45)+SUMIFS('1 - Filterpapir SW'!X:X,'1 - Filterpapir SW'!C:C,'5 - All data'!B45,'1 - Filterpapir SW'!D:D,'5 - All data'!C45)</f>
        <v>17</v>
      </c>
      <c r="F45" s="33">
        <f>SUMIFS('1 - Filterpapir SW'!Y:Y,'1 - Filterpapir SW'!C:C,'5 - All data'!B45,'1 - Filterpapir SW'!D:D,'5 - All data'!C45)+SUMIFS('1 - Filterpapir SW'!Z:Z,'1 - Filterpapir SW'!C:C,'5 - All data'!B45,'1 - Filterpapir SW'!D:D,'5 - All data'!C45)</f>
        <v>1</v>
      </c>
      <c r="G45" s="33">
        <f t="shared" si="5"/>
        <v>18</v>
      </c>
      <c r="H45" s="117">
        <f t="shared" si="1"/>
        <v>0.94444444444444442</v>
      </c>
    </row>
    <row r="46" spans="1:8" x14ac:dyDescent="0.2">
      <c r="A46" s="33" t="s">
        <v>280</v>
      </c>
      <c r="B46" s="15">
        <v>672</v>
      </c>
      <c r="C46" s="15" t="s">
        <v>66</v>
      </c>
      <c r="D46" s="15" t="e">
        <f>NA()</f>
        <v>#N/A</v>
      </c>
      <c r="E46" s="33">
        <f>SUMIFS('1 - Filterpapir SW'!W:W,'1 - Filterpapir SW'!C:C,'5 - All data'!B46,'1 - Filterpapir SW'!D:D,'5 - All data'!C46)+SUMIFS('1 - Filterpapir SW'!X:X,'1 - Filterpapir SW'!C:C,'5 - All data'!B46,'1 - Filterpapir SW'!D:D,'5 - All data'!C46)</f>
        <v>18</v>
      </c>
      <c r="F46" s="33">
        <f>SUMIFS('1 - Filterpapir SW'!Y:Y,'1 - Filterpapir SW'!C:C,'5 - All data'!B46,'1 - Filterpapir SW'!D:D,'5 - All data'!C46)+SUMIFS('1 - Filterpapir SW'!Z:Z,'1 - Filterpapir SW'!C:C,'5 - All data'!B46,'1 - Filterpapir SW'!D:D,'5 - All data'!C46)</f>
        <v>3</v>
      </c>
      <c r="G46" s="33">
        <f t="shared" si="5"/>
        <v>21</v>
      </c>
      <c r="H46" s="117">
        <f t="shared" si="1"/>
        <v>0.8571428571428571</v>
      </c>
    </row>
    <row r="47" spans="1:8" s="33" customFormat="1" x14ac:dyDescent="0.2">
      <c r="A47" s="33" t="s">
        <v>280</v>
      </c>
      <c r="B47" s="15">
        <f>24*7*8</f>
        <v>1344</v>
      </c>
      <c r="C47" s="15" t="s">
        <v>68</v>
      </c>
      <c r="D47" s="15" t="e">
        <f>NA()</f>
        <v>#N/A</v>
      </c>
      <c r="E47" s="33">
        <f>SUMIFS('1 - Filterpapir SW'!W:W,'1 - Filterpapir SW'!C:C,'5 - All data'!B47,'1 - Filterpapir SW'!D:D,'5 - All data'!C47)+SUMIFS('1 - Filterpapir SW'!X:X,'1 - Filterpapir SW'!C:C,'5 - All data'!B47,'1 - Filterpapir SW'!D:D,'5 - All data'!C47)</f>
        <v>10</v>
      </c>
      <c r="F47" s="33">
        <f>SUMIFS('1 - Filterpapir SW'!Y:Y,'1 - Filterpapir SW'!C:C,'5 - All data'!B47,'1 - Filterpapir SW'!D:D,'5 - All data'!C47)+SUMIFS('1 - Filterpapir SW'!Z:Z,'1 - Filterpapir SW'!C:C,'5 - All data'!B47,'1 - Filterpapir SW'!D:D,'5 - All data'!C47)</f>
        <v>3</v>
      </c>
      <c r="G47" s="33">
        <f t="shared" ref="G47:G52" si="6">SUM(E47:F47)</f>
        <v>13</v>
      </c>
      <c r="H47" s="117">
        <f t="shared" ref="H47:H52" si="7">E47/G47</f>
        <v>0.76923076923076927</v>
      </c>
    </row>
    <row r="48" spans="1:8" s="33" customFormat="1" x14ac:dyDescent="0.2">
      <c r="A48" s="33" t="s">
        <v>280</v>
      </c>
      <c r="B48" s="15">
        <f t="shared" ref="B48:B52" si="8">24*7*8</f>
        <v>1344</v>
      </c>
      <c r="C48" s="15" t="s">
        <v>69</v>
      </c>
      <c r="D48" s="15" t="e">
        <f>NA()</f>
        <v>#N/A</v>
      </c>
      <c r="E48" s="33">
        <f>SUMIFS('1 - Filterpapir SW'!W:W,'1 - Filterpapir SW'!C:C,'5 - All data'!B48,'1 - Filterpapir SW'!D:D,'5 - All data'!C48)+SUMIFS('1 - Filterpapir SW'!X:X,'1 - Filterpapir SW'!C:C,'5 - All data'!B48,'1 - Filterpapir SW'!D:D,'5 - All data'!C48)</f>
        <v>8</v>
      </c>
      <c r="F48" s="33">
        <f>SUMIFS('1 - Filterpapir SW'!Y:Y,'1 - Filterpapir SW'!C:C,'5 - All data'!B48,'1 - Filterpapir SW'!D:D,'5 - All data'!C48)+SUMIFS('1 - Filterpapir SW'!Z:Z,'1 - Filterpapir SW'!C:C,'5 - All data'!B48,'1 - Filterpapir SW'!D:D,'5 - All data'!C48)</f>
        <v>5</v>
      </c>
      <c r="G48" s="33">
        <f t="shared" si="6"/>
        <v>13</v>
      </c>
      <c r="H48" s="117">
        <f t="shared" si="7"/>
        <v>0.61538461538461542</v>
      </c>
    </row>
    <row r="49" spans="1:8" s="33" customFormat="1" x14ac:dyDescent="0.2">
      <c r="A49" s="33" t="s">
        <v>280</v>
      </c>
      <c r="B49" s="15">
        <f t="shared" si="8"/>
        <v>1344</v>
      </c>
      <c r="C49" s="15" t="s">
        <v>70</v>
      </c>
      <c r="D49" s="15" t="e">
        <f>NA()</f>
        <v>#N/A</v>
      </c>
      <c r="E49" s="33">
        <f>SUMIFS('1 - Filterpapir SW'!W:W,'1 - Filterpapir SW'!C:C,'5 - All data'!B49,'1 - Filterpapir SW'!D:D,'5 - All data'!C49)+SUMIFS('1 - Filterpapir SW'!X:X,'1 - Filterpapir SW'!C:C,'5 - All data'!B49,'1 - Filterpapir SW'!D:D,'5 - All data'!C49)</f>
        <v>10</v>
      </c>
      <c r="F49" s="33">
        <f>SUMIFS('1 - Filterpapir SW'!Y:Y,'1 - Filterpapir SW'!C:C,'5 - All data'!B49,'1 - Filterpapir SW'!D:D,'5 - All data'!C49)+SUMIFS('1 - Filterpapir SW'!Z:Z,'1 - Filterpapir SW'!C:C,'5 - All data'!B49,'1 - Filterpapir SW'!D:D,'5 - All data'!C49)</f>
        <v>3</v>
      </c>
      <c r="G49" s="33">
        <f t="shared" si="6"/>
        <v>13</v>
      </c>
      <c r="H49" s="117">
        <f t="shared" si="7"/>
        <v>0.76923076923076927</v>
      </c>
    </row>
    <row r="50" spans="1:8" s="33" customFormat="1" x14ac:dyDescent="0.2">
      <c r="A50" s="33" t="s">
        <v>280</v>
      </c>
      <c r="B50" s="15">
        <f t="shared" si="8"/>
        <v>1344</v>
      </c>
      <c r="C50" s="15" t="s">
        <v>71</v>
      </c>
      <c r="D50" s="15" t="e">
        <f>NA()</f>
        <v>#N/A</v>
      </c>
      <c r="E50" s="33">
        <f>SUMIFS('1 - Filterpapir SW'!W:W,'1 - Filterpapir SW'!C:C,'5 - All data'!B50,'1 - Filterpapir SW'!D:D,'5 - All data'!C50)+SUMIFS('1 - Filterpapir SW'!X:X,'1 - Filterpapir SW'!C:C,'5 - All data'!B50,'1 - Filterpapir SW'!D:D,'5 - All data'!C50)</f>
        <v>10</v>
      </c>
      <c r="F50" s="33">
        <f>SUMIFS('1 - Filterpapir SW'!Y:Y,'1 - Filterpapir SW'!C:C,'5 - All data'!B50,'1 - Filterpapir SW'!D:D,'5 - All data'!C50)+SUMIFS('1 - Filterpapir SW'!Z:Z,'1 - Filterpapir SW'!C:C,'5 - All data'!B50,'1 - Filterpapir SW'!D:D,'5 - All data'!C50)</f>
        <v>8</v>
      </c>
      <c r="G50" s="33">
        <f t="shared" si="6"/>
        <v>18</v>
      </c>
      <c r="H50" s="117">
        <f t="shared" si="7"/>
        <v>0.55555555555555558</v>
      </c>
    </row>
    <row r="51" spans="1:8" s="33" customFormat="1" x14ac:dyDescent="0.2">
      <c r="A51" s="33" t="s">
        <v>280</v>
      </c>
      <c r="B51" s="15">
        <f t="shared" si="8"/>
        <v>1344</v>
      </c>
      <c r="C51" s="15" t="s">
        <v>72</v>
      </c>
      <c r="D51" s="15" t="e">
        <f>NA()</f>
        <v>#N/A</v>
      </c>
      <c r="E51" s="33">
        <f>SUMIFS('1 - Filterpapir SW'!W:W,'1 - Filterpapir SW'!C:C,'5 - All data'!B51,'1 - Filterpapir SW'!D:D,'5 - All data'!C51)+SUMIFS('1 - Filterpapir SW'!X:X,'1 - Filterpapir SW'!C:C,'5 - All data'!B51,'1 - Filterpapir SW'!D:D,'5 - All data'!C51)</f>
        <v>6</v>
      </c>
      <c r="F51" s="33">
        <f>SUMIFS('1 - Filterpapir SW'!Y:Y,'1 - Filterpapir SW'!C:C,'5 - All data'!B51,'1 - Filterpapir SW'!D:D,'5 - All data'!C51)+SUMIFS('1 - Filterpapir SW'!Z:Z,'1 - Filterpapir SW'!C:C,'5 - All data'!B51,'1 - Filterpapir SW'!D:D,'5 - All data'!C51)</f>
        <v>7</v>
      </c>
      <c r="G51" s="33">
        <f t="shared" si="6"/>
        <v>13</v>
      </c>
      <c r="H51" s="117">
        <f t="shared" si="7"/>
        <v>0.46153846153846156</v>
      </c>
    </row>
    <row r="52" spans="1:8" s="33" customFormat="1" x14ac:dyDescent="0.2">
      <c r="A52" s="33" t="s">
        <v>280</v>
      </c>
      <c r="B52" s="15">
        <f t="shared" si="8"/>
        <v>1344</v>
      </c>
      <c r="C52" s="15" t="s">
        <v>73</v>
      </c>
      <c r="D52" s="15" t="e">
        <f>NA()</f>
        <v>#N/A</v>
      </c>
      <c r="E52" s="33">
        <f>SUMIFS('1 - Filterpapir SW'!W:W,'1 - Filterpapir SW'!C:C,'5 - All data'!B52,'1 - Filterpapir SW'!D:D,'5 - All data'!C52)+SUMIFS('1 - Filterpapir SW'!X:X,'1 - Filterpapir SW'!C:C,'5 - All data'!B52,'1 - Filterpapir SW'!D:D,'5 - All data'!C52)</f>
        <v>10</v>
      </c>
      <c r="F52" s="33">
        <f>SUMIFS('1 - Filterpapir SW'!Y:Y,'1 - Filterpapir SW'!C:C,'5 - All data'!B52,'1 - Filterpapir SW'!D:D,'5 - All data'!C52)+SUMIFS('1 - Filterpapir SW'!Z:Z,'1 - Filterpapir SW'!C:C,'5 - All data'!B52,'1 - Filterpapir SW'!D:D,'5 - All data'!C52)</f>
        <v>7</v>
      </c>
      <c r="G52" s="33">
        <f t="shared" si="6"/>
        <v>17</v>
      </c>
      <c r="H52" s="117">
        <f t="shared" si="7"/>
        <v>0.58823529411764708</v>
      </c>
    </row>
    <row r="53" spans="1:8" x14ac:dyDescent="0.2">
      <c r="A53" s="33" t="s">
        <v>280</v>
      </c>
      <c r="B53" s="15">
        <v>2016</v>
      </c>
      <c r="C53" s="15" t="s">
        <v>75</v>
      </c>
      <c r="D53" s="15" t="e">
        <f>NA()</f>
        <v>#N/A</v>
      </c>
      <c r="E53" s="33">
        <f>SUMIFS('1 - Filterpapir SW'!W:W,'1 - Filterpapir SW'!C:C,'5 - All data'!B53,'1 - Filterpapir SW'!D:D,'5 - All data'!C53)+SUMIFS('1 - Filterpapir SW'!X:X,'1 - Filterpapir SW'!C:C,'5 - All data'!B53,'1 - Filterpapir SW'!D:D,'5 - All data'!C53)</f>
        <v>5</v>
      </c>
      <c r="F53" s="33">
        <f>SUMIFS('1 - Filterpapir SW'!Y:Y,'1 - Filterpapir SW'!C:C,'5 - All data'!B53,'1 - Filterpapir SW'!D:D,'5 - All data'!C53)+SUMIFS('1 - Filterpapir SW'!Z:Z,'1 - Filterpapir SW'!C:C,'5 - All data'!B53,'1 - Filterpapir SW'!D:D,'5 - All data'!C53)</f>
        <v>9</v>
      </c>
      <c r="G53" s="33">
        <f>SUM(E53:F53)</f>
        <v>14</v>
      </c>
      <c r="H53" s="117">
        <f t="shared" si="1"/>
        <v>0.35714285714285715</v>
      </c>
    </row>
    <row r="54" spans="1:8" x14ac:dyDescent="0.2">
      <c r="A54" s="33" t="s">
        <v>280</v>
      </c>
      <c r="B54" s="15">
        <v>2016</v>
      </c>
      <c r="C54" s="15" t="s">
        <v>76</v>
      </c>
      <c r="D54" s="15" t="e">
        <f>NA()</f>
        <v>#N/A</v>
      </c>
      <c r="E54" s="33">
        <f>SUMIFS('1 - Filterpapir SW'!W:W,'1 - Filterpapir SW'!C:C,'5 - All data'!B54,'1 - Filterpapir SW'!D:D,'5 - All data'!C54)+SUMIFS('1 - Filterpapir SW'!X:X,'1 - Filterpapir SW'!C:C,'5 - All data'!B54,'1 - Filterpapir SW'!D:D,'5 - All data'!C54)</f>
        <v>8</v>
      </c>
      <c r="F54" s="33">
        <f>SUMIFS('1 - Filterpapir SW'!Y:Y,'1 - Filterpapir SW'!C:C,'5 - All data'!B54,'1 - Filterpapir SW'!D:D,'5 - All data'!C54)+SUMIFS('1 - Filterpapir SW'!Z:Z,'1 - Filterpapir SW'!C:C,'5 - All data'!B54,'1 - Filterpapir SW'!D:D,'5 - All data'!C54)</f>
        <v>10</v>
      </c>
      <c r="G54" s="33">
        <f t="shared" ref="G54:G58" si="9">SUM(E54:F54)</f>
        <v>18</v>
      </c>
      <c r="H54" s="117">
        <f t="shared" si="1"/>
        <v>0.44444444444444442</v>
      </c>
    </row>
    <row r="55" spans="1:8" x14ac:dyDescent="0.2">
      <c r="A55" s="33" t="s">
        <v>280</v>
      </c>
      <c r="B55" s="15">
        <v>2016</v>
      </c>
      <c r="C55" s="15" t="s">
        <v>77</v>
      </c>
      <c r="D55" s="15" t="e">
        <f>NA()</f>
        <v>#N/A</v>
      </c>
      <c r="E55" s="33">
        <f>SUMIFS('1 - Filterpapir SW'!W:W,'1 - Filterpapir SW'!C:C,'5 - All data'!B55,'1 - Filterpapir SW'!D:D,'5 - All data'!C55)+SUMIFS('1 - Filterpapir SW'!X:X,'1 - Filterpapir SW'!C:C,'5 - All data'!B55,'1 - Filterpapir SW'!D:D,'5 - All data'!C55)</f>
        <v>10</v>
      </c>
      <c r="F55" s="33">
        <f>SUMIFS('1 - Filterpapir SW'!Y:Y,'1 - Filterpapir SW'!C:C,'5 - All data'!B55,'1 - Filterpapir SW'!D:D,'5 - All data'!C55)+SUMIFS('1 - Filterpapir SW'!Z:Z,'1 - Filterpapir SW'!C:C,'5 - All data'!B55,'1 - Filterpapir SW'!D:D,'5 - All data'!C55)</f>
        <v>6</v>
      </c>
      <c r="G55" s="33">
        <f t="shared" si="9"/>
        <v>16</v>
      </c>
      <c r="H55" s="117">
        <f t="shared" si="1"/>
        <v>0.625</v>
      </c>
    </row>
    <row r="56" spans="1:8" x14ac:dyDescent="0.2">
      <c r="A56" s="33" t="s">
        <v>280</v>
      </c>
      <c r="B56" s="15">
        <v>2016</v>
      </c>
      <c r="C56" s="15" t="s">
        <v>78</v>
      </c>
      <c r="D56" s="15" t="e">
        <f>NA()</f>
        <v>#N/A</v>
      </c>
      <c r="E56" s="33">
        <f>SUMIFS('1 - Filterpapir SW'!W:W,'1 - Filterpapir SW'!C:C,'5 - All data'!B56,'1 - Filterpapir SW'!D:D,'5 - All data'!C56)+SUMIFS('1 - Filterpapir SW'!X:X,'1 - Filterpapir SW'!C:C,'5 - All data'!B56,'1 - Filterpapir SW'!D:D,'5 - All data'!C56)</f>
        <v>5</v>
      </c>
      <c r="F56" s="33">
        <f>SUMIFS('1 - Filterpapir SW'!Y:Y,'1 - Filterpapir SW'!C:C,'5 - All data'!B56,'1 - Filterpapir SW'!D:D,'5 - All data'!C56)+SUMIFS('1 - Filterpapir SW'!Z:Z,'1 - Filterpapir SW'!C:C,'5 - All data'!B56,'1 - Filterpapir SW'!D:D,'5 - All data'!C56)</f>
        <v>10</v>
      </c>
      <c r="G56" s="33">
        <f t="shared" si="9"/>
        <v>15</v>
      </c>
      <c r="H56" s="117">
        <f t="shared" si="1"/>
        <v>0.33333333333333331</v>
      </c>
    </row>
    <row r="57" spans="1:8" x14ac:dyDescent="0.2">
      <c r="A57" s="33" t="s">
        <v>280</v>
      </c>
      <c r="B57" s="15">
        <v>2016</v>
      </c>
      <c r="C57" s="15" t="s">
        <v>79</v>
      </c>
      <c r="D57" s="15" t="e">
        <f>NA()</f>
        <v>#N/A</v>
      </c>
      <c r="E57" s="33">
        <f>SUMIFS('1 - Filterpapir SW'!W:W,'1 - Filterpapir SW'!C:C,'5 - All data'!B57,'1 - Filterpapir SW'!D:D,'5 - All data'!C57)+SUMIFS('1 - Filterpapir SW'!X:X,'1 - Filterpapir SW'!C:C,'5 - All data'!B57,'1 - Filterpapir SW'!D:D,'5 - All data'!C57)</f>
        <v>1</v>
      </c>
      <c r="F57" s="33">
        <f>SUMIFS('1 - Filterpapir SW'!Y:Y,'1 - Filterpapir SW'!C:C,'5 - All data'!B57,'1 - Filterpapir SW'!D:D,'5 - All data'!C57)+SUMIFS('1 - Filterpapir SW'!Z:Z,'1 - Filterpapir SW'!C:C,'5 - All data'!B57,'1 - Filterpapir SW'!D:D,'5 - All data'!C57)</f>
        <v>14</v>
      </c>
      <c r="G57" s="33">
        <f t="shared" si="9"/>
        <v>15</v>
      </c>
      <c r="H57" s="117">
        <f t="shared" si="1"/>
        <v>6.6666666666666666E-2</v>
      </c>
    </row>
    <row r="58" spans="1:8" x14ac:dyDescent="0.2">
      <c r="A58" s="33" t="s">
        <v>280</v>
      </c>
      <c r="B58" s="15">
        <v>2016</v>
      </c>
      <c r="C58" s="15" t="s">
        <v>80</v>
      </c>
      <c r="D58" s="15" t="e">
        <f>NA()</f>
        <v>#N/A</v>
      </c>
      <c r="E58" s="33">
        <f>SUMIFS('1 - Filterpapir SW'!W:W,'1 - Filterpapir SW'!C:C,'5 - All data'!B58,'1 - Filterpapir SW'!D:D,'5 - All data'!C58)+SUMIFS('1 - Filterpapir SW'!X:X,'1 - Filterpapir SW'!C:C,'5 - All data'!B58,'1 - Filterpapir SW'!D:D,'5 - All data'!C58)</f>
        <v>3</v>
      </c>
      <c r="F58" s="33">
        <f>SUMIFS('1 - Filterpapir SW'!Y:Y,'1 - Filterpapir SW'!C:C,'5 - All data'!B58,'1 - Filterpapir SW'!D:D,'5 - All data'!C58)+SUMIFS('1 - Filterpapir SW'!Z:Z,'1 - Filterpapir SW'!C:C,'5 - All data'!B58,'1 - Filterpapir SW'!D:D,'5 - All data'!C58)</f>
        <v>14</v>
      </c>
      <c r="G58" s="33">
        <f t="shared" si="9"/>
        <v>17</v>
      </c>
      <c r="H58" s="117">
        <f t="shared" si="1"/>
        <v>0.17647058823529413</v>
      </c>
    </row>
    <row r="59" spans="1:8" x14ac:dyDescent="0.2">
      <c r="A59" s="33" t="s">
        <v>280</v>
      </c>
      <c r="B59" s="15">
        <v>6570</v>
      </c>
      <c r="C59" s="15" t="s">
        <v>84</v>
      </c>
      <c r="D59" s="15" t="e">
        <f>NA()</f>
        <v>#N/A</v>
      </c>
      <c r="E59" s="33">
        <f>SUMIFS('1 - Filterpapir SW'!W:W,'1 - Filterpapir SW'!C:C,'5 - All data'!B59,'1 - Filterpapir SW'!D:D,'5 - All data'!C59)+SUMIFS('1 - Filterpapir SW'!X:X,'1 - Filterpapir SW'!C:C,'5 - All data'!B59,'1 - Filterpapir SW'!D:D,'5 - All data'!C59)</f>
        <v>6</v>
      </c>
      <c r="F59" s="33">
        <f>SUMIFS('1 - Filterpapir SW'!Y:Y,'1 - Filterpapir SW'!C:C,'5 - All data'!B59,'1 - Filterpapir SW'!D:D,'5 - All data'!C59)+SUMIFS('1 - Filterpapir SW'!Z:Z,'1 - Filterpapir SW'!C:C,'5 - All data'!B59,'1 - Filterpapir SW'!D:D,'5 - All data'!C59)</f>
        <v>12</v>
      </c>
      <c r="G59" s="33">
        <f t="shared" ref="G59:G70" si="10">SUM(E59:F59)</f>
        <v>18</v>
      </c>
      <c r="H59" s="117">
        <f t="shared" si="1"/>
        <v>0.33333333333333331</v>
      </c>
    </row>
    <row r="60" spans="1:8" x14ac:dyDescent="0.2">
      <c r="A60" s="33" t="s">
        <v>280</v>
      </c>
      <c r="B60" s="15">
        <v>6570</v>
      </c>
      <c r="C60" s="15" t="s">
        <v>86</v>
      </c>
      <c r="D60" s="15" t="e">
        <f>NA()</f>
        <v>#N/A</v>
      </c>
      <c r="E60" s="33">
        <f>SUMIFS('1 - Filterpapir SW'!W:W,'1 - Filterpapir SW'!C:C,'5 - All data'!B60,'1 - Filterpapir SW'!D:D,'5 - All data'!C60)+SUMIFS('1 - Filterpapir SW'!X:X,'1 - Filterpapir SW'!C:C,'5 - All data'!B60,'1 - Filterpapir SW'!D:D,'5 - All data'!C60)</f>
        <v>3</v>
      </c>
      <c r="F60" s="33">
        <f>SUMIFS('1 - Filterpapir SW'!Y:Y,'1 - Filterpapir SW'!C:C,'5 - All data'!B60,'1 - Filterpapir SW'!D:D,'5 - All data'!C60)+SUMIFS('1 - Filterpapir SW'!Z:Z,'1 - Filterpapir SW'!C:C,'5 - All data'!B60,'1 - Filterpapir SW'!D:D,'5 - All data'!C60)</f>
        <v>9</v>
      </c>
      <c r="G60" s="33">
        <f t="shared" si="10"/>
        <v>12</v>
      </c>
      <c r="H60" s="117">
        <f t="shared" si="1"/>
        <v>0.25</v>
      </c>
    </row>
    <row r="61" spans="1:8" x14ac:dyDescent="0.2">
      <c r="A61" s="33" t="s">
        <v>280</v>
      </c>
      <c r="B61" s="15">
        <v>6570</v>
      </c>
      <c r="C61" s="15" t="s">
        <v>87</v>
      </c>
      <c r="D61" s="15" t="e">
        <f>NA()</f>
        <v>#N/A</v>
      </c>
      <c r="E61" s="33">
        <f>SUMIFS('1 - Filterpapir SW'!W:W,'1 - Filterpapir SW'!C:C,'5 - All data'!B61,'1 - Filterpapir SW'!D:D,'5 - All data'!C61)+SUMIFS('1 - Filterpapir SW'!X:X,'1 - Filterpapir SW'!C:C,'5 - All data'!B61,'1 - Filterpapir SW'!D:D,'5 - All data'!C61)</f>
        <v>4</v>
      </c>
      <c r="F61" s="33">
        <f>SUMIFS('1 - Filterpapir SW'!Y:Y,'1 - Filterpapir SW'!C:C,'5 - All data'!B61,'1 - Filterpapir SW'!D:D,'5 - All data'!C61)+SUMIFS('1 - Filterpapir SW'!Z:Z,'1 - Filterpapir SW'!C:C,'5 - All data'!B61,'1 - Filterpapir SW'!D:D,'5 - All data'!C61)</f>
        <v>8</v>
      </c>
      <c r="G61" s="33">
        <f t="shared" si="10"/>
        <v>12</v>
      </c>
      <c r="H61" s="117">
        <f t="shared" si="1"/>
        <v>0.33333333333333331</v>
      </c>
    </row>
    <row r="62" spans="1:8" x14ac:dyDescent="0.2">
      <c r="A62" s="33" t="s">
        <v>280</v>
      </c>
      <c r="B62" s="15">
        <v>6570</v>
      </c>
      <c r="C62" s="15" t="s">
        <v>88</v>
      </c>
      <c r="D62" s="15" t="e">
        <f>NA()</f>
        <v>#N/A</v>
      </c>
      <c r="E62" s="33">
        <f>SUMIFS('1 - Filterpapir SW'!W:W,'1 - Filterpapir SW'!C:C,'5 - All data'!B62,'1 - Filterpapir SW'!D:D,'5 - All data'!C62)+SUMIFS('1 - Filterpapir SW'!X:X,'1 - Filterpapir SW'!C:C,'5 - All data'!B62,'1 - Filterpapir SW'!D:D,'5 - All data'!C62)</f>
        <v>6</v>
      </c>
      <c r="F62" s="33">
        <f>SUMIFS('1 - Filterpapir SW'!Y:Y,'1 - Filterpapir SW'!C:C,'5 - All data'!B62,'1 - Filterpapir SW'!D:D,'5 - All data'!C62)+SUMIFS('1 - Filterpapir SW'!Z:Z,'1 - Filterpapir SW'!C:C,'5 - All data'!B62,'1 - Filterpapir SW'!D:D,'5 - All data'!C62)</f>
        <v>11</v>
      </c>
      <c r="G62" s="33">
        <f t="shared" si="10"/>
        <v>17</v>
      </c>
      <c r="H62" s="117">
        <f t="shared" si="1"/>
        <v>0.35294117647058826</v>
      </c>
    </row>
    <row r="63" spans="1:8" x14ac:dyDescent="0.2">
      <c r="A63" s="33" t="s">
        <v>280</v>
      </c>
      <c r="B63" s="15">
        <v>6570</v>
      </c>
      <c r="C63" s="15" t="s">
        <v>89</v>
      </c>
      <c r="D63" s="15" t="e">
        <f>NA()</f>
        <v>#N/A</v>
      </c>
      <c r="E63" s="33">
        <f>SUMIFS('1 - Filterpapir SW'!W:W,'1 - Filterpapir SW'!C:C,'5 - All data'!B63,'1 - Filterpapir SW'!D:D,'5 - All data'!C63)+SUMIFS('1 - Filterpapir SW'!X:X,'1 - Filterpapir SW'!C:C,'5 - All data'!B63,'1 - Filterpapir SW'!D:D,'5 - All data'!C63)</f>
        <v>5</v>
      </c>
      <c r="F63" s="33">
        <f>SUMIFS('1 - Filterpapir SW'!Y:Y,'1 - Filterpapir SW'!C:C,'5 - All data'!B63,'1 - Filterpapir SW'!D:D,'5 - All data'!C63)+SUMIFS('1 - Filterpapir SW'!Z:Z,'1 - Filterpapir SW'!C:C,'5 - All data'!B63,'1 - Filterpapir SW'!D:D,'5 - All data'!C63)</f>
        <v>12</v>
      </c>
      <c r="G63" s="33">
        <f t="shared" si="10"/>
        <v>17</v>
      </c>
      <c r="H63" s="117">
        <f t="shared" si="1"/>
        <v>0.29411764705882354</v>
      </c>
    </row>
    <row r="64" spans="1:8" x14ac:dyDescent="0.2">
      <c r="A64" s="33" t="s">
        <v>280</v>
      </c>
      <c r="B64" s="15">
        <v>8760</v>
      </c>
      <c r="C64" s="45" t="s">
        <v>142</v>
      </c>
      <c r="D64" s="15" t="e">
        <f>NA()</f>
        <v>#N/A</v>
      </c>
      <c r="E64" s="33">
        <f>SUMIFS('1 - Filterpapir SW'!W:W,'1 - Filterpapir SW'!C:C,'5 - All data'!B64,'1 - Filterpapir SW'!D:D,'5 - All data'!C64)+SUMIFS('1 - Filterpapir SW'!X:X,'1 - Filterpapir SW'!C:C,'5 - All data'!B64,'1 - Filterpapir SW'!D:D,'5 - All data'!C64)</f>
        <v>2</v>
      </c>
      <c r="F64" s="33">
        <f>SUMIFS('1 - Filterpapir SW'!Y:Y,'1 - Filterpapir SW'!C:C,'5 - All data'!B64,'1 - Filterpapir SW'!D:D,'5 - All data'!C64)+SUMIFS('1 - Filterpapir SW'!Z:Z,'1 - Filterpapir SW'!C:C,'5 - All data'!B64,'1 - Filterpapir SW'!D:D,'5 - All data'!C64)</f>
        <v>16</v>
      </c>
      <c r="G64" s="33">
        <f t="shared" si="10"/>
        <v>18</v>
      </c>
      <c r="H64" s="117">
        <f t="shared" si="1"/>
        <v>0.1111111111111111</v>
      </c>
    </row>
    <row r="65" spans="1:11" s="33" customFormat="1" x14ac:dyDescent="0.2">
      <c r="A65" s="33" t="s">
        <v>280</v>
      </c>
      <c r="B65" s="15">
        <v>8760</v>
      </c>
      <c r="C65" s="45" t="s">
        <v>143</v>
      </c>
      <c r="D65" s="15" t="e">
        <f>NA()</f>
        <v>#N/A</v>
      </c>
      <c r="E65" s="33">
        <f>SUMIFS('1 - Filterpapir SW'!W:W,'1 - Filterpapir SW'!C:C,'5 - All data'!B65,'1 - Filterpapir SW'!D:D,'5 - All data'!C65)+SUMIFS('1 - Filterpapir SW'!X:X,'1 - Filterpapir SW'!C:C,'5 - All data'!B65,'1 - Filterpapir SW'!D:D,'5 - All data'!C65)</f>
        <v>2</v>
      </c>
      <c r="F65" s="33">
        <f>SUMIFS('1 - Filterpapir SW'!Y:Y,'1 - Filterpapir SW'!C:C,'5 - All data'!B65,'1 - Filterpapir SW'!D:D,'5 - All data'!C65)+SUMIFS('1 - Filterpapir SW'!Z:Z,'1 - Filterpapir SW'!C:C,'5 - All data'!B65,'1 - Filterpapir SW'!D:D,'5 - All data'!C65)</f>
        <v>18</v>
      </c>
      <c r="G65" s="33">
        <f t="shared" ref="G65:G69" si="11">SUM(E65:F65)</f>
        <v>20</v>
      </c>
      <c r="H65" s="117">
        <f t="shared" ref="H65:H69" si="12">E65/G65</f>
        <v>0.1</v>
      </c>
    </row>
    <row r="66" spans="1:11" s="33" customFormat="1" x14ac:dyDescent="0.2">
      <c r="A66" s="33" t="s">
        <v>280</v>
      </c>
      <c r="B66" s="15">
        <v>8760</v>
      </c>
      <c r="C66" s="45" t="s">
        <v>144</v>
      </c>
      <c r="D66" s="15" t="e">
        <f>NA()</f>
        <v>#N/A</v>
      </c>
      <c r="E66" s="33">
        <f>SUMIFS('1 - Filterpapir SW'!W:W,'1 - Filterpapir SW'!C:C,'5 - All data'!B66,'1 - Filterpapir SW'!D:D,'5 - All data'!C66)+SUMIFS('1 - Filterpapir SW'!X:X,'1 - Filterpapir SW'!C:C,'5 - All data'!B66,'1 - Filterpapir SW'!D:D,'5 - All data'!C66)</f>
        <v>1</v>
      </c>
      <c r="F66" s="33">
        <f>SUMIFS('1 - Filterpapir SW'!Y:Y,'1 - Filterpapir SW'!C:C,'5 - All data'!B66,'1 - Filterpapir SW'!D:D,'5 - All data'!C66)+SUMIFS('1 - Filterpapir SW'!Z:Z,'1 - Filterpapir SW'!C:C,'5 - All data'!B66,'1 - Filterpapir SW'!D:D,'5 - All data'!C66)</f>
        <v>20</v>
      </c>
      <c r="G66" s="33">
        <f t="shared" si="11"/>
        <v>21</v>
      </c>
      <c r="H66" s="117">
        <f t="shared" si="12"/>
        <v>4.7619047619047616E-2</v>
      </c>
    </row>
    <row r="67" spans="1:11" s="33" customFormat="1" x14ac:dyDescent="0.2">
      <c r="A67" s="33" t="s">
        <v>280</v>
      </c>
      <c r="B67" s="15">
        <v>8760</v>
      </c>
      <c r="C67" s="45" t="s">
        <v>145</v>
      </c>
      <c r="D67" s="15" t="e">
        <f>NA()</f>
        <v>#N/A</v>
      </c>
      <c r="E67" s="33">
        <f>SUMIFS('1 - Filterpapir SW'!W:W,'1 - Filterpapir SW'!C:C,'5 - All data'!B67,'1 - Filterpapir SW'!D:D,'5 - All data'!C67)+SUMIFS('1 - Filterpapir SW'!X:X,'1 - Filterpapir SW'!C:C,'5 - All data'!B67,'1 - Filterpapir SW'!D:D,'5 - All data'!C67)</f>
        <v>3</v>
      </c>
      <c r="F67" s="33">
        <f>SUMIFS('1 - Filterpapir SW'!Y:Y,'1 - Filterpapir SW'!C:C,'5 - All data'!B67,'1 - Filterpapir SW'!D:D,'5 - All data'!C67)+SUMIFS('1 - Filterpapir SW'!Z:Z,'1 - Filterpapir SW'!C:C,'5 - All data'!B67,'1 - Filterpapir SW'!D:D,'5 - All data'!C67)</f>
        <v>13</v>
      </c>
      <c r="G67" s="33">
        <f t="shared" si="11"/>
        <v>16</v>
      </c>
      <c r="H67" s="117">
        <f t="shared" si="12"/>
        <v>0.1875</v>
      </c>
    </row>
    <row r="68" spans="1:11" s="33" customFormat="1" x14ac:dyDescent="0.2">
      <c r="A68" s="33" t="s">
        <v>280</v>
      </c>
      <c r="B68" s="15">
        <v>8760</v>
      </c>
      <c r="C68" s="45" t="s">
        <v>146</v>
      </c>
      <c r="D68" s="15" t="e">
        <f>NA()</f>
        <v>#N/A</v>
      </c>
      <c r="E68" s="33">
        <f>SUMIFS('1 - Filterpapir SW'!W:W,'1 - Filterpapir SW'!C:C,'5 - All data'!B68,'1 - Filterpapir SW'!D:D,'5 - All data'!C68)+SUMIFS('1 - Filterpapir SW'!X:X,'1 - Filterpapir SW'!C:C,'5 - All data'!B68,'1 - Filterpapir SW'!D:D,'5 - All data'!C68)</f>
        <v>1</v>
      </c>
      <c r="F68" s="33">
        <f>SUMIFS('1 - Filterpapir SW'!Y:Y,'1 - Filterpapir SW'!C:C,'5 - All data'!B68,'1 - Filterpapir SW'!D:D,'5 - All data'!C68)+SUMIFS('1 - Filterpapir SW'!Z:Z,'1 - Filterpapir SW'!C:C,'5 - All data'!B68,'1 - Filterpapir SW'!D:D,'5 - All data'!C68)</f>
        <v>16</v>
      </c>
      <c r="G68" s="33">
        <f t="shared" si="11"/>
        <v>17</v>
      </c>
      <c r="H68" s="117">
        <f t="shared" si="12"/>
        <v>5.8823529411764705E-2</v>
      </c>
    </row>
    <row r="69" spans="1:11" s="33" customFormat="1" x14ac:dyDescent="0.2">
      <c r="A69" s="33" t="s">
        <v>280</v>
      </c>
      <c r="B69" s="15">
        <v>8760</v>
      </c>
      <c r="C69" s="45" t="s">
        <v>147</v>
      </c>
      <c r="D69" s="15" t="e">
        <f>NA()</f>
        <v>#N/A</v>
      </c>
      <c r="E69" s="33">
        <f>SUMIFS('1 - Filterpapir SW'!W:W,'1 - Filterpapir SW'!C:C,'5 - All data'!B69,'1 - Filterpapir SW'!D:D,'5 - All data'!C69)+SUMIFS('1 - Filterpapir SW'!X:X,'1 - Filterpapir SW'!C:C,'5 - All data'!B69,'1 - Filterpapir SW'!D:D,'5 - All data'!C69)</f>
        <v>3</v>
      </c>
      <c r="F69" s="33">
        <f>SUMIFS('1 - Filterpapir SW'!Y:Y,'1 - Filterpapir SW'!C:C,'5 - All data'!B69,'1 - Filterpapir SW'!D:D,'5 - All data'!C69)+SUMIFS('1 - Filterpapir SW'!Z:Z,'1 - Filterpapir SW'!C:C,'5 - All data'!B69,'1 - Filterpapir SW'!D:D,'5 - All data'!C69)</f>
        <v>21</v>
      </c>
      <c r="G69" s="33">
        <f t="shared" si="11"/>
        <v>24</v>
      </c>
      <c r="H69" s="117">
        <f t="shared" si="12"/>
        <v>0.125</v>
      </c>
    </row>
    <row r="70" spans="1:11" x14ac:dyDescent="0.2">
      <c r="A70" s="33" t="s">
        <v>275</v>
      </c>
      <c r="B70" s="15">
        <v>2</v>
      </c>
      <c r="C70" s="15" t="s">
        <v>119</v>
      </c>
      <c r="D70" s="15" t="e">
        <f>NA()</f>
        <v>#N/A</v>
      </c>
      <c r="E70">
        <f>SUMIFS('2 - Filterpapir dH2O'!W:W,'2 - Filterpapir dH2O'!D:D,'5 - All data'!C70,'2 - Filterpapir dH2O'!C:C,'5 - All data'!B70)+SUMIFS('2 - Filterpapir dH2O'!X:X,'2 - Filterpapir dH2O'!D:D,'5 - All data'!C70,'2 - Filterpapir dH2O'!C:C,'5 - All data'!B70)</f>
        <v>20</v>
      </c>
      <c r="F70">
        <f>SUMIFS('2 - Filterpapir dH2O'!Y:Y,'2 - Filterpapir dH2O'!D:D,'5 - All data'!C70,'2 - Filterpapir dH2O'!C:C,'5 - All data'!B70)+SUMIFS('2 - Filterpapir dH2O'!Z:Z,'2 - Filterpapir dH2O'!D:D,'5 - All data'!C70,'2 - Filterpapir dH2O'!C:C,'5 - All data'!B70)</f>
        <v>0</v>
      </c>
      <c r="G70" s="33">
        <f t="shared" si="10"/>
        <v>20</v>
      </c>
      <c r="H70" s="117">
        <f t="shared" si="1"/>
        <v>1</v>
      </c>
    </row>
    <row r="71" spans="1:11" x14ac:dyDescent="0.2">
      <c r="A71" s="33" t="s">
        <v>275</v>
      </c>
      <c r="B71" s="15">
        <v>2</v>
      </c>
      <c r="C71" s="15" t="s">
        <v>120</v>
      </c>
      <c r="D71" s="15" t="e">
        <f>NA()</f>
        <v>#N/A</v>
      </c>
      <c r="E71" s="33">
        <f>SUMIFS('2 - Filterpapir dH2O'!W:W,'2 - Filterpapir dH2O'!D:D,'5 - All data'!C71,'2 - Filterpapir dH2O'!C:C,'5 - All data'!B71)+SUMIFS('2 - Filterpapir dH2O'!X:X,'2 - Filterpapir dH2O'!D:D,'5 - All data'!C71,'2 - Filterpapir dH2O'!C:C,'5 - All data'!B71)</f>
        <v>20</v>
      </c>
      <c r="F71" s="33">
        <f>SUMIFS('2 - Filterpapir dH2O'!Y:Y,'2 - Filterpapir dH2O'!D:D,'5 - All data'!C71,'2 - Filterpapir dH2O'!C:C,'5 - All data'!B71)+SUMIFS('2 - Filterpapir dH2O'!Z:Z,'2 - Filterpapir dH2O'!D:D,'5 - All data'!C71,'2 - Filterpapir dH2O'!C:C,'5 - All data'!B71)</f>
        <v>2</v>
      </c>
      <c r="G71" s="33">
        <f t="shared" ref="G71:G86" si="13">SUM(E71:F71)</f>
        <v>22</v>
      </c>
      <c r="H71" s="117">
        <f t="shared" si="1"/>
        <v>0.90909090909090906</v>
      </c>
    </row>
    <row r="72" spans="1:11" x14ac:dyDescent="0.2">
      <c r="A72" s="33" t="s">
        <v>275</v>
      </c>
      <c r="B72" s="15">
        <v>2</v>
      </c>
      <c r="C72" s="27" t="s">
        <v>121</v>
      </c>
      <c r="D72" s="15" t="e">
        <f>NA()</f>
        <v>#N/A</v>
      </c>
      <c r="E72" s="33">
        <f>SUMIFS('2 - Filterpapir dH2O'!W:W,'2 - Filterpapir dH2O'!D:D,'5 - All data'!C72,'2 - Filterpapir dH2O'!C:C,'5 - All data'!B72)+SUMIFS('2 - Filterpapir dH2O'!X:X,'2 - Filterpapir dH2O'!D:D,'5 - All data'!C72,'2 - Filterpapir dH2O'!C:C,'5 - All data'!B72)</f>
        <v>13</v>
      </c>
      <c r="F72" s="33">
        <f>SUMIFS('2 - Filterpapir dH2O'!Y:Y,'2 - Filterpapir dH2O'!D:D,'5 - All data'!C72,'2 - Filterpapir dH2O'!C:C,'5 - All data'!B72)+SUMIFS('2 - Filterpapir dH2O'!Z:Z,'2 - Filterpapir dH2O'!D:D,'5 - All data'!C72,'2 - Filterpapir dH2O'!C:C,'5 - All data'!B72)</f>
        <v>1</v>
      </c>
      <c r="G72" s="33">
        <f t="shared" si="13"/>
        <v>14</v>
      </c>
      <c r="H72" s="117">
        <f t="shared" si="1"/>
        <v>0.9285714285714286</v>
      </c>
    </row>
    <row r="73" spans="1:11" x14ac:dyDescent="0.2">
      <c r="A73" s="33" t="s">
        <v>275</v>
      </c>
      <c r="B73" s="15">
        <v>2</v>
      </c>
      <c r="C73" s="27" t="s">
        <v>122</v>
      </c>
      <c r="D73" s="15" t="e">
        <f>NA()</f>
        <v>#N/A</v>
      </c>
      <c r="E73" s="33">
        <f>SUMIFS('2 - Filterpapir dH2O'!W:W,'2 - Filterpapir dH2O'!D:D,'5 - All data'!C73,'2 - Filterpapir dH2O'!C:C,'5 - All data'!B73)+SUMIFS('2 - Filterpapir dH2O'!X:X,'2 - Filterpapir dH2O'!D:D,'5 - All data'!C73,'2 - Filterpapir dH2O'!C:C,'5 - All data'!B73)</f>
        <v>12</v>
      </c>
      <c r="F73" s="33">
        <f>SUMIFS('2 - Filterpapir dH2O'!Y:Y,'2 - Filterpapir dH2O'!D:D,'5 - All data'!C73,'2 - Filterpapir dH2O'!C:C,'5 - All data'!B73)+SUMIFS('2 - Filterpapir dH2O'!Z:Z,'2 - Filterpapir dH2O'!D:D,'5 - All data'!C73,'2 - Filterpapir dH2O'!C:C,'5 - All data'!B73)</f>
        <v>5</v>
      </c>
      <c r="G73" s="33">
        <f t="shared" si="13"/>
        <v>17</v>
      </c>
      <c r="H73" s="117">
        <f t="shared" si="1"/>
        <v>0.70588235294117652</v>
      </c>
    </row>
    <row r="74" spans="1:11" x14ac:dyDescent="0.2">
      <c r="A74" s="33" t="s">
        <v>275</v>
      </c>
      <c r="B74" s="15">
        <v>2</v>
      </c>
      <c r="C74" s="27" t="s">
        <v>123</v>
      </c>
      <c r="D74" s="15" t="e">
        <f>NA()</f>
        <v>#N/A</v>
      </c>
      <c r="E74" s="33">
        <f>SUMIFS('2 - Filterpapir dH2O'!W:W,'2 - Filterpapir dH2O'!D:D,'5 - All data'!C74,'2 - Filterpapir dH2O'!C:C,'5 - All data'!B74)+SUMIFS('2 - Filterpapir dH2O'!X:X,'2 - Filterpapir dH2O'!D:D,'5 - All data'!C74,'2 - Filterpapir dH2O'!C:C,'5 - All data'!B74)</f>
        <v>15</v>
      </c>
      <c r="F74" s="33">
        <f>SUMIFS('2 - Filterpapir dH2O'!Y:Y,'2 - Filterpapir dH2O'!D:D,'5 - All data'!C74,'2 - Filterpapir dH2O'!C:C,'5 - All data'!B74)+SUMIFS('2 - Filterpapir dH2O'!Z:Z,'2 - Filterpapir dH2O'!D:D,'5 - All data'!C74,'2 - Filterpapir dH2O'!C:C,'5 - All data'!B74)</f>
        <v>5</v>
      </c>
      <c r="G74" s="33">
        <f t="shared" si="13"/>
        <v>20</v>
      </c>
      <c r="H74" s="117">
        <f t="shared" si="1"/>
        <v>0.75</v>
      </c>
    </row>
    <row r="75" spans="1:11" x14ac:dyDescent="0.2">
      <c r="A75" s="33" t="s">
        <v>275</v>
      </c>
      <c r="B75" s="15">
        <v>2</v>
      </c>
      <c r="C75" s="27" t="s">
        <v>124</v>
      </c>
      <c r="D75" s="15" t="e">
        <f>NA()</f>
        <v>#N/A</v>
      </c>
      <c r="E75" s="33">
        <f>SUMIFS('2 - Filterpapir dH2O'!W:W,'2 - Filterpapir dH2O'!D:D,'5 - All data'!C75,'2 - Filterpapir dH2O'!C:C,'5 - All data'!B75)+SUMIFS('2 - Filterpapir dH2O'!X:X,'2 - Filterpapir dH2O'!D:D,'5 - All data'!C75,'2 - Filterpapir dH2O'!C:C,'5 - All data'!B75)</f>
        <v>13</v>
      </c>
      <c r="F75" s="33">
        <f>SUMIFS('2 - Filterpapir dH2O'!Y:Y,'2 - Filterpapir dH2O'!D:D,'5 - All data'!C75,'2 - Filterpapir dH2O'!C:C,'5 - All data'!B75)+SUMIFS('2 - Filterpapir dH2O'!Z:Z,'2 - Filterpapir dH2O'!D:D,'5 - All data'!C75,'2 - Filterpapir dH2O'!C:C,'5 - All data'!B75)</f>
        <v>3</v>
      </c>
      <c r="G75" s="33">
        <f t="shared" si="13"/>
        <v>16</v>
      </c>
      <c r="H75" s="117">
        <f t="shared" si="1"/>
        <v>0.8125</v>
      </c>
      <c r="I75" s="33"/>
      <c r="J75" s="33"/>
      <c r="K75" s="33"/>
    </row>
    <row r="76" spans="1:11" x14ac:dyDescent="0.2">
      <c r="A76" s="33" t="s">
        <v>275</v>
      </c>
      <c r="B76" s="15">
        <v>24</v>
      </c>
      <c r="C76" s="15" t="s">
        <v>125</v>
      </c>
      <c r="D76" s="15" t="e">
        <f>NA()</f>
        <v>#N/A</v>
      </c>
      <c r="E76" s="33">
        <f>SUMIFS('2 - Filterpapir dH2O'!W:W,'2 - Filterpapir dH2O'!D:D,'5 - All data'!C76,'2 - Filterpapir dH2O'!C:C,'5 - All data'!B76)+SUMIFS('2 - Filterpapir dH2O'!X:X,'2 - Filterpapir dH2O'!D:D,'5 - All data'!C76,'2 - Filterpapir dH2O'!C:C,'5 - All data'!B76)</f>
        <v>15</v>
      </c>
      <c r="F76" s="33">
        <f>SUMIFS('2 - Filterpapir dH2O'!Y:Y,'2 - Filterpapir dH2O'!D:D,'5 - All data'!C76,'2 - Filterpapir dH2O'!C:C,'5 - All data'!B76)+SUMIFS('2 - Filterpapir dH2O'!Z:Z,'2 - Filterpapir dH2O'!D:D,'5 - All data'!C76,'2 - Filterpapir dH2O'!C:C,'5 - All data'!B76)</f>
        <v>5</v>
      </c>
      <c r="G76" s="33">
        <f t="shared" si="13"/>
        <v>20</v>
      </c>
      <c r="H76" s="117">
        <f t="shared" si="1"/>
        <v>0.75</v>
      </c>
      <c r="I76" s="33"/>
      <c r="J76" s="33"/>
      <c r="K76" s="33"/>
    </row>
    <row r="77" spans="1:11" x14ac:dyDescent="0.2">
      <c r="A77" s="33" t="s">
        <v>275</v>
      </c>
      <c r="B77" s="15">
        <v>24</v>
      </c>
      <c r="C77" s="27" t="s">
        <v>126</v>
      </c>
      <c r="D77" s="15" t="e">
        <f>NA()</f>
        <v>#N/A</v>
      </c>
      <c r="E77" s="33">
        <f>SUMIFS('2 - Filterpapir dH2O'!W:W,'2 - Filterpapir dH2O'!D:D,'5 - All data'!C77,'2 - Filterpapir dH2O'!C:C,'5 - All data'!B77)+SUMIFS('2 - Filterpapir dH2O'!X:X,'2 - Filterpapir dH2O'!D:D,'5 - All data'!C77,'2 - Filterpapir dH2O'!C:C,'5 - All data'!B77)</f>
        <v>14</v>
      </c>
      <c r="F77" s="33">
        <f>SUMIFS('2 - Filterpapir dH2O'!Y:Y,'2 - Filterpapir dH2O'!D:D,'5 - All data'!C77,'2 - Filterpapir dH2O'!C:C,'5 - All data'!B77)+SUMIFS('2 - Filterpapir dH2O'!Z:Z,'2 - Filterpapir dH2O'!D:D,'5 - All data'!C77,'2 - Filterpapir dH2O'!C:C,'5 - All data'!B77)</f>
        <v>0</v>
      </c>
      <c r="G77" s="33">
        <f t="shared" si="13"/>
        <v>14</v>
      </c>
      <c r="H77" s="117">
        <f t="shared" si="1"/>
        <v>1</v>
      </c>
      <c r="I77" s="33"/>
      <c r="J77" s="33"/>
      <c r="K77" s="33"/>
    </row>
    <row r="78" spans="1:11" x14ac:dyDescent="0.2">
      <c r="A78" s="33" t="s">
        <v>275</v>
      </c>
      <c r="B78" s="15">
        <v>24</v>
      </c>
      <c r="C78" s="27" t="s">
        <v>127</v>
      </c>
      <c r="D78" s="15" t="e">
        <f>NA()</f>
        <v>#N/A</v>
      </c>
      <c r="E78" s="33">
        <f>SUMIFS('2 - Filterpapir dH2O'!W:W,'2 - Filterpapir dH2O'!D:D,'5 - All data'!C78,'2 - Filterpapir dH2O'!C:C,'5 - All data'!B78)+SUMIFS('2 - Filterpapir dH2O'!X:X,'2 - Filterpapir dH2O'!D:D,'5 - All data'!C78,'2 - Filterpapir dH2O'!C:C,'5 - All data'!B78)</f>
        <v>16</v>
      </c>
      <c r="F78" s="33">
        <f>SUMIFS('2 - Filterpapir dH2O'!Y:Y,'2 - Filterpapir dH2O'!D:D,'5 - All data'!C78,'2 - Filterpapir dH2O'!C:C,'5 - All data'!B78)+SUMIFS('2 - Filterpapir dH2O'!Z:Z,'2 - Filterpapir dH2O'!D:D,'5 - All data'!C78,'2 - Filterpapir dH2O'!C:C,'5 - All data'!B78)</f>
        <v>6</v>
      </c>
      <c r="G78" s="33">
        <f t="shared" si="13"/>
        <v>22</v>
      </c>
      <c r="H78" s="117">
        <f t="shared" ref="H78:H141" si="14">E78/G78</f>
        <v>0.72727272727272729</v>
      </c>
      <c r="I78" s="33"/>
      <c r="J78" s="33"/>
      <c r="K78" s="33"/>
    </row>
    <row r="79" spans="1:11" x14ac:dyDescent="0.2">
      <c r="A79" s="33" t="s">
        <v>275</v>
      </c>
      <c r="B79" s="15">
        <v>24</v>
      </c>
      <c r="C79" s="27" t="s">
        <v>128</v>
      </c>
      <c r="D79" s="15" t="e">
        <f>NA()</f>
        <v>#N/A</v>
      </c>
      <c r="E79" s="33">
        <f>SUMIFS('2 - Filterpapir dH2O'!W:W,'2 - Filterpapir dH2O'!D:D,'5 - All data'!C79,'2 - Filterpapir dH2O'!C:C,'5 - All data'!B79)+SUMIFS('2 - Filterpapir dH2O'!X:X,'2 - Filterpapir dH2O'!D:D,'5 - All data'!C79,'2 - Filterpapir dH2O'!C:C,'5 - All data'!B79)</f>
        <v>12</v>
      </c>
      <c r="F79" s="33">
        <f>SUMIFS('2 - Filterpapir dH2O'!Y:Y,'2 - Filterpapir dH2O'!D:D,'5 - All data'!C79,'2 - Filterpapir dH2O'!C:C,'5 - All data'!B79)+SUMIFS('2 - Filterpapir dH2O'!Z:Z,'2 - Filterpapir dH2O'!D:D,'5 - All data'!C79,'2 - Filterpapir dH2O'!C:C,'5 - All data'!B79)</f>
        <v>8</v>
      </c>
      <c r="G79" s="33">
        <f t="shared" si="13"/>
        <v>20</v>
      </c>
      <c r="H79" s="117">
        <f t="shared" si="14"/>
        <v>0.6</v>
      </c>
      <c r="I79" s="33"/>
      <c r="J79" s="33"/>
      <c r="K79" s="33"/>
    </row>
    <row r="80" spans="1:11" x14ac:dyDescent="0.2">
      <c r="A80" s="33" t="s">
        <v>275</v>
      </c>
      <c r="B80" s="15">
        <v>24</v>
      </c>
      <c r="C80" s="27" t="s">
        <v>129</v>
      </c>
      <c r="D80" s="15" t="e">
        <f>NA()</f>
        <v>#N/A</v>
      </c>
      <c r="E80" s="33">
        <f>SUMIFS('2 - Filterpapir dH2O'!W:W,'2 - Filterpapir dH2O'!D:D,'5 - All data'!C80,'2 - Filterpapir dH2O'!C:C,'5 - All data'!B80)+SUMIFS('2 - Filterpapir dH2O'!X:X,'2 - Filterpapir dH2O'!D:D,'5 - All data'!C80,'2 - Filterpapir dH2O'!C:C,'5 - All data'!B80)</f>
        <v>10</v>
      </c>
      <c r="F80" s="33">
        <f>SUMIFS('2 - Filterpapir dH2O'!Y:Y,'2 - Filterpapir dH2O'!D:D,'5 - All data'!C80,'2 - Filterpapir dH2O'!C:C,'5 - All data'!B80)+SUMIFS('2 - Filterpapir dH2O'!Z:Z,'2 - Filterpapir dH2O'!D:D,'5 - All data'!C80,'2 - Filterpapir dH2O'!C:C,'5 - All data'!B80)</f>
        <v>9</v>
      </c>
      <c r="G80" s="33">
        <f t="shared" si="13"/>
        <v>19</v>
      </c>
      <c r="H80" s="117">
        <f t="shared" si="14"/>
        <v>0.52631578947368418</v>
      </c>
      <c r="I80" s="33"/>
      <c r="J80" s="33"/>
      <c r="K80" s="33"/>
    </row>
    <row r="81" spans="1:11" x14ac:dyDescent="0.2">
      <c r="A81" s="33" t="s">
        <v>275</v>
      </c>
      <c r="B81" s="15">
        <v>48</v>
      </c>
      <c r="C81" s="15" t="s">
        <v>131</v>
      </c>
      <c r="D81" s="15" t="e">
        <f>NA()</f>
        <v>#N/A</v>
      </c>
      <c r="E81" s="33">
        <f>SUMIFS('2 - Filterpapir dH2O'!W:W,'2 - Filterpapir dH2O'!D:D,'5 - All data'!C81,'2 - Filterpapir dH2O'!C:C,'5 - All data'!B81)+SUMIFS('2 - Filterpapir dH2O'!X:X,'2 - Filterpapir dH2O'!D:D,'5 - All data'!C81,'2 - Filterpapir dH2O'!C:C,'5 - All data'!B81)</f>
        <v>20</v>
      </c>
      <c r="F81" s="33">
        <f>SUMIFS('2 - Filterpapir dH2O'!Y:Y,'2 - Filterpapir dH2O'!D:D,'5 - All data'!C81,'2 - Filterpapir dH2O'!C:C,'5 - All data'!B81)+SUMIFS('2 - Filterpapir dH2O'!Z:Z,'2 - Filterpapir dH2O'!D:D,'5 - All data'!C81,'2 - Filterpapir dH2O'!C:C,'5 - All data'!B81)</f>
        <v>0</v>
      </c>
      <c r="G81" s="33">
        <f t="shared" si="13"/>
        <v>20</v>
      </c>
      <c r="H81" s="117">
        <f t="shared" si="14"/>
        <v>1</v>
      </c>
      <c r="I81" s="33"/>
      <c r="J81" s="33"/>
      <c r="K81" s="33"/>
    </row>
    <row r="82" spans="1:11" x14ac:dyDescent="0.2">
      <c r="A82" s="33" t="s">
        <v>275</v>
      </c>
      <c r="B82" s="15">
        <v>48</v>
      </c>
      <c r="C82" s="27" t="s">
        <v>132</v>
      </c>
      <c r="D82" s="15" t="e">
        <f>NA()</f>
        <v>#N/A</v>
      </c>
      <c r="E82" s="33">
        <f>SUMIFS('2 - Filterpapir dH2O'!W:W,'2 - Filterpapir dH2O'!D:D,'5 - All data'!C82,'2 - Filterpapir dH2O'!C:C,'5 - All data'!B82)+SUMIFS('2 - Filterpapir dH2O'!X:X,'2 - Filterpapir dH2O'!D:D,'5 - All data'!C82,'2 - Filterpapir dH2O'!C:C,'5 - All data'!B82)</f>
        <v>11</v>
      </c>
      <c r="F82" s="33">
        <f>SUMIFS('2 - Filterpapir dH2O'!Y:Y,'2 - Filterpapir dH2O'!D:D,'5 - All data'!C82,'2 - Filterpapir dH2O'!C:C,'5 - All data'!B82)+SUMIFS('2 - Filterpapir dH2O'!Z:Z,'2 - Filterpapir dH2O'!D:D,'5 - All data'!C82,'2 - Filterpapir dH2O'!C:C,'5 - All data'!B82)</f>
        <v>3</v>
      </c>
      <c r="G82" s="33">
        <f t="shared" si="13"/>
        <v>14</v>
      </c>
      <c r="H82" s="117">
        <f t="shared" si="14"/>
        <v>0.7857142857142857</v>
      </c>
      <c r="I82" s="33"/>
      <c r="J82" s="33"/>
      <c r="K82" s="33"/>
    </row>
    <row r="83" spans="1:11" x14ac:dyDescent="0.2">
      <c r="A83" s="33" t="s">
        <v>275</v>
      </c>
      <c r="B83" s="15">
        <v>48</v>
      </c>
      <c r="C83" s="15" t="s">
        <v>133</v>
      </c>
      <c r="D83" s="15" t="e">
        <f>NA()</f>
        <v>#N/A</v>
      </c>
      <c r="E83" s="33">
        <f>SUMIFS('2 - Filterpapir dH2O'!W:W,'2 - Filterpapir dH2O'!D:D,'5 - All data'!C83,'2 - Filterpapir dH2O'!C:C,'5 - All data'!B83)+SUMIFS('2 - Filterpapir dH2O'!X:X,'2 - Filterpapir dH2O'!D:D,'5 - All data'!C83,'2 - Filterpapir dH2O'!C:C,'5 - All data'!B83)</f>
        <v>19</v>
      </c>
      <c r="F83" s="33">
        <f>SUMIFS('2 - Filterpapir dH2O'!Y:Y,'2 - Filterpapir dH2O'!D:D,'5 - All data'!C83,'2 - Filterpapir dH2O'!C:C,'5 - All data'!B83)+SUMIFS('2 - Filterpapir dH2O'!Z:Z,'2 - Filterpapir dH2O'!D:D,'5 - All data'!C83,'2 - Filterpapir dH2O'!C:C,'5 - All data'!B83)</f>
        <v>3</v>
      </c>
      <c r="G83" s="33">
        <f t="shared" si="13"/>
        <v>22</v>
      </c>
      <c r="H83" s="117">
        <f t="shared" si="14"/>
        <v>0.86363636363636365</v>
      </c>
      <c r="I83" s="33"/>
      <c r="J83" s="33"/>
      <c r="K83" s="33"/>
    </row>
    <row r="84" spans="1:11" x14ac:dyDescent="0.2">
      <c r="A84" s="33" t="s">
        <v>275</v>
      </c>
      <c r="B84" s="15">
        <v>48</v>
      </c>
      <c r="C84" s="15" t="s">
        <v>134</v>
      </c>
      <c r="D84" s="15" t="e">
        <f>NA()</f>
        <v>#N/A</v>
      </c>
      <c r="E84" s="33">
        <f>SUMIFS('2 - Filterpapir dH2O'!W:W,'2 - Filterpapir dH2O'!D:D,'5 - All data'!C84,'2 - Filterpapir dH2O'!C:C,'5 - All data'!B84)+SUMIFS('2 - Filterpapir dH2O'!X:X,'2 - Filterpapir dH2O'!D:D,'5 - All data'!C84,'2 - Filterpapir dH2O'!C:C,'5 - All data'!B84)</f>
        <v>17</v>
      </c>
      <c r="F84" s="33">
        <f>SUMIFS('2 - Filterpapir dH2O'!Y:Y,'2 - Filterpapir dH2O'!D:D,'5 - All data'!C84,'2 - Filterpapir dH2O'!C:C,'5 - All data'!B84)+SUMIFS('2 - Filterpapir dH2O'!Z:Z,'2 - Filterpapir dH2O'!D:D,'5 - All data'!C84,'2 - Filterpapir dH2O'!C:C,'5 - All data'!B84)</f>
        <v>2</v>
      </c>
      <c r="G84" s="33">
        <f t="shared" si="13"/>
        <v>19</v>
      </c>
      <c r="H84" s="117">
        <f t="shared" si="14"/>
        <v>0.89473684210526316</v>
      </c>
    </row>
    <row r="85" spans="1:11" x14ac:dyDescent="0.2">
      <c r="A85" s="33" t="s">
        <v>275</v>
      </c>
      <c r="B85" s="15">
        <v>48</v>
      </c>
      <c r="C85" s="15" t="s">
        <v>135</v>
      </c>
      <c r="D85" s="15" t="e">
        <f>NA()</f>
        <v>#N/A</v>
      </c>
      <c r="E85" s="33">
        <f>SUMIFS('2 - Filterpapir dH2O'!W:W,'2 - Filterpapir dH2O'!D:D,'5 - All data'!C85,'2 - Filterpapir dH2O'!C:C,'5 - All data'!B85)+SUMIFS('2 - Filterpapir dH2O'!X:X,'2 - Filterpapir dH2O'!D:D,'5 - All data'!C85,'2 - Filterpapir dH2O'!C:C,'5 - All data'!B85)</f>
        <v>17</v>
      </c>
      <c r="F85" s="33">
        <f>SUMIFS('2 - Filterpapir dH2O'!Y:Y,'2 - Filterpapir dH2O'!D:D,'5 - All data'!C85,'2 - Filterpapir dH2O'!C:C,'5 - All data'!B85)+SUMIFS('2 - Filterpapir dH2O'!Z:Z,'2 - Filterpapir dH2O'!D:D,'5 - All data'!C85,'2 - Filterpapir dH2O'!C:C,'5 - All data'!B85)</f>
        <v>0</v>
      </c>
      <c r="G85" s="33">
        <f t="shared" si="13"/>
        <v>17</v>
      </c>
      <c r="H85" s="117">
        <f t="shared" si="14"/>
        <v>1</v>
      </c>
    </row>
    <row r="86" spans="1:11" x14ac:dyDescent="0.2">
      <c r="A86" s="33" t="s">
        <v>275</v>
      </c>
      <c r="B86" s="15">
        <v>48</v>
      </c>
      <c r="C86" s="15" t="s">
        <v>136</v>
      </c>
      <c r="D86" s="15" t="e">
        <f>NA()</f>
        <v>#N/A</v>
      </c>
      <c r="E86" s="33">
        <f>SUMIFS('2 - Filterpapir dH2O'!W:W,'2 - Filterpapir dH2O'!D:D,'5 - All data'!C86,'2 - Filterpapir dH2O'!C:C,'5 - All data'!B86)+SUMIFS('2 - Filterpapir dH2O'!X:X,'2 - Filterpapir dH2O'!D:D,'5 - All data'!C86,'2 - Filterpapir dH2O'!C:C,'5 - All data'!B86)</f>
        <v>21</v>
      </c>
      <c r="F86" s="33">
        <f>SUMIFS('2 - Filterpapir dH2O'!Y:Y,'2 - Filterpapir dH2O'!D:D,'5 - All data'!C86,'2 - Filterpapir dH2O'!C:C,'5 - All data'!B86)+SUMIFS('2 - Filterpapir dH2O'!Z:Z,'2 - Filterpapir dH2O'!D:D,'5 - All data'!C86,'2 - Filterpapir dH2O'!C:C,'5 - All data'!B86)</f>
        <v>1</v>
      </c>
      <c r="G86" s="33">
        <f t="shared" si="13"/>
        <v>22</v>
      </c>
      <c r="H86" s="117">
        <f t="shared" si="14"/>
        <v>0.95454545454545459</v>
      </c>
    </row>
    <row r="87" spans="1:11" x14ac:dyDescent="0.2">
      <c r="A87" t="s">
        <v>276</v>
      </c>
      <c r="B87" s="46">
        <v>2</v>
      </c>
      <c r="C87" s="33" t="s">
        <v>159</v>
      </c>
      <c r="D87" s="33">
        <v>0.1</v>
      </c>
      <c r="E87">
        <f>SUMIFS('3 - glass surface'!X:X,'3 - glass surface'!C:C,'5 - All data'!B87,'3 - glass surface'!D:D,'5 - All data'!D87,'3 - glass surface'!E:E,'5 - All data'!C87)+SUMIFS('3 - glass surface'!Y:Y,'3 - glass surface'!C:C,'5 - All data'!B87,'3 - glass surface'!D:D,'5 - All data'!D87,'3 - glass surface'!E:E,'5 - All data'!C87)</f>
        <v>3</v>
      </c>
      <c r="F87">
        <f>SUMIFS('3 - glass surface'!Z:Z,'3 - glass surface'!C:C,'5 - All data'!B87,'3 - glass surface'!D:D,'5 - All data'!D87,'3 - glass surface'!E:E,'5 - All data'!C87)+SUMIFS('3 - glass surface'!AA:AA,'3 - glass surface'!C:C,'5 - All data'!B87,'3 - glass surface'!D:D,'5 - All data'!D87,'3 - glass surface'!E:E,'5 - All data'!C87)</f>
        <v>5</v>
      </c>
      <c r="G87" s="33">
        <f t="shared" ref="G87" si="15">SUM(E87:F87)</f>
        <v>8</v>
      </c>
      <c r="H87" s="117">
        <f t="shared" si="14"/>
        <v>0.375</v>
      </c>
    </row>
    <row r="88" spans="1:11" x14ac:dyDescent="0.2">
      <c r="A88" s="33" t="s">
        <v>276</v>
      </c>
      <c r="B88" s="46">
        <v>2</v>
      </c>
      <c r="C88" s="33" t="s">
        <v>160</v>
      </c>
      <c r="D88" s="33">
        <v>0.1</v>
      </c>
      <c r="E88" s="33">
        <f>SUMIFS('3 - glass surface'!X:X,'3 - glass surface'!C:C,'5 - All data'!B88,'3 - glass surface'!D:D,'5 - All data'!D88,'3 - glass surface'!E:E,'5 - All data'!C88)+SUMIFS('3 - glass surface'!Y:Y,'3 - glass surface'!C:C,'5 - All data'!B88,'3 - glass surface'!D:D,'5 - All data'!D88,'3 - glass surface'!E:E,'5 - All data'!C88)</f>
        <v>2</v>
      </c>
      <c r="F88" s="33">
        <f>SUMIFS('3 - glass surface'!Z:Z,'3 - glass surface'!C:C,'5 - All data'!B88,'3 - glass surface'!D:D,'5 - All data'!D88,'3 - glass surface'!E:E,'5 - All data'!C88)+SUMIFS('3 - glass surface'!AA:AA,'3 - glass surface'!C:C,'5 - All data'!B88,'3 - glass surface'!D:D,'5 - All data'!D88,'3 - glass surface'!E:E,'5 - All data'!C88)</f>
        <v>8</v>
      </c>
      <c r="G88" s="33">
        <f t="shared" ref="G88:G97" si="16">SUM(E88:F88)</f>
        <v>10</v>
      </c>
      <c r="H88" s="117">
        <f t="shared" si="14"/>
        <v>0.2</v>
      </c>
    </row>
    <row r="89" spans="1:11" x14ac:dyDescent="0.2">
      <c r="A89" s="33" t="s">
        <v>276</v>
      </c>
      <c r="B89" s="46">
        <v>2</v>
      </c>
      <c r="C89" s="33" t="s">
        <v>161</v>
      </c>
      <c r="D89" s="33">
        <v>0.1</v>
      </c>
      <c r="E89" s="33">
        <f>SUMIFS('3 - glass surface'!X:X,'3 - glass surface'!C:C,'5 - All data'!B89,'3 - glass surface'!D:D,'5 - All data'!D89,'3 - glass surface'!E:E,'5 - All data'!C89)+SUMIFS('3 - glass surface'!Y:Y,'3 - glass surface'!C:C,'5 - All data'!B89,'3 - glass surface'!D:D,'5 - All data'!D89,'3 - glass surface'!E:E,'5 - All data'!C89)</f>
        <v>3</v>
      </c>
      <c r="F89" s="33">
        <f>SUMIFS('3 - glass surface'!Z:Z,'3 - glass surface'!C:C,'5 - All data'!B89,'3 - glass surface'!D:D,'5 - All data'!D89,'3 - glass surface'!E:E,'5 - All data'!C89)+SUMIFS('3 - glass surface'!AA:AA,'3 - glass surface'!C:C,'5 - All data'!B89,'3 - glass surface'!D:D,'5 - All data'!D89,'3 - glass surface'!E:E,'5 - All data'!C89)</f>
        <v>7</v>
      </c>
      <c r="G89" s="33">
        <f t="shared" si="16"/>
        <v>10</v>
      </c>
      <c r="H89" s="117">
        <f t="shared" si="14"/>
        <v>0.3</v>
      </c>
    </row>
    <row r="90" spans="1:11" x14ac:dyDescent="0.2">
      <c r="A90" s="33" t="s">
        <v>276</v>
      </c>
      <c r="B90" s="46">
        <v>2</v>
      </c>
      <c r="C90" s="33" t="s">
        <v>188</v>
      </c>
      <c r="D90" s="33">
        <v>0.1</v>
      </c>
      <c r="E90" s="33">
        <f>SUMIFS('3 - glass surface'!X:X,'3 - glass surface'!C:C,'5 - All data'!B90,'3 - glass surface'!D:D,'5 - All data'!D90,'3 - glass surface'!E:E,'5 - All data'!C90)+SUMIFS('3 - glass surface'!Y:Y,'3 - glass surface'!C:C,'5 - All data'!B90,'3 - glass surface'!D:D,'5 - All data'!D90,'3 - glass surface'!E:E,'5 - All data'!C90)</f>
        <v>10</v>
      </c>
      <c r="F90" s="33">
        <f>SUMIFS('3 - glass surface'!Z:Z,'3 - glass surface'!C:C,'5 - All data'!B90,'3 - glass surface'!D:D,'5 - All data'!D90,'3 - glass surface'!E:E,'5 - All data'!C90)+SUMIFS('3 - glass surface'!AA:AA,'3 - glass surface'!C:C,'5 - All data'!B90,'3 - glass surface'!D:D,'5 - All data'!D90,'3 - glass surface'!E:E,'5 - All data'!C90)</f>
        <v>0</v>
      </c>
      <c r="G90" s="33">
        <f t="shared" si="16"/>
        <v>10</v>
      </c>
      <c r="H90" s="117">
        <f t="shared" si="14"/>
        <v>1</v>
      </c>
    </row>
    <row r="91" spans="1:11" x14ac:dyDescent="0.2">
      <c r="A91" s="33" t="s">
        <v>276</v>
      </c>
      <c r="B91" s="46">
        <v>2</v>
      </c>
      <c r="C91" s="33" t="s">
        <v>189</v>
      </c>
      <c r="D91" s="33">
        <v>0.1</v>
      </c>
      <c r="E91" s="33">
        <f>SUMIFS('3 - glass surface'!X:X,'3 - glass surface'!C:C,'5 - All data'!B91,'3 - glass surface'!D:D,'5 - All data'!D91,'3 - glass surface'!E:E,'5 - All data'!C91)+SUMIFS('3 - glass surface'!Y:Y,'3 - glass surface'!C:C,'5 - All data'!B91,'3 - glass surface'!D:D,'5 - All data'!D91,'3 - glass surface'!E:E,'5 - All data'!C91)</f>
        <v>10</v>
      </c>
      <c r="F91" s="33">
        <f>SUMIFS('3 - glass surface'!Z:Z,'3 - glass surface'!C:C,'5 - All data'!B91,'3 - glass surface'!D:D,'5 - All data'!D91,'3 - glass surface'!E:E,'5 - All data'!C91)+SUMIFS('3 - glass surface'!AA:AA,'3 - glass surface'!C:C,'5 - All data'!B91,'3 - glass surface'!D:D,'5 - All data'!D91,'3 - glass surface'!E:E,'5 - All data'!C91)</f>
        <v>0</v>
      </c>
      <c r="G91" s="33">
        <f t="shared" si="16"/>
        <v>10</v>
      </c>
      <c r="H91" s="117">
        <f t="shared" si="14"/>
        <v>1</v>
      </c>
    </row>
    <row r="92" spans="1:11" x14ac:dyDescent="0.2">
      <c r="A92" s="33" t="s">
        <v>276</v>
      </c>
      <c r="B92" s="46">
        <v>2</v>
      </c>
      <c r="C92" s="33" t="s">
        <v>190</v>
      </c>
      <c r="D92" s="33">
        <v>0.1</v>
      </c>
      <c r="E92" s="33">
        <f>SUMIFS('3 - glass surface'!X:X,'3 - glass surface'!C:C,'5 - All data'!B92,'3 - glass surface'!D:D,'5 - All data'!D92,'3 - glass surface'!E:E,'5 - All data'!C92)+SUMIFS('3 - glass surface'!Y:Y,'3 - glass surface'!C:C,'5 - All data'!B92,'3 - glass surface'!D:D,'5 - All data'!D92,'3 - glass surface'!E:E,'5 - All data'!C92)</f>
        <v>10</v>
      </c>
      <c r="F92" s="33">
        <f>SUMIFS('3 - glass surface'!Z:Z,'3 - glass surface'!C:C,'5 - All data'!B92,'3 - glass surface'!D:D,'5 - All data'!D92,'3 - glass surface'!E:E,'5 - All data'!C92)+SUMIFS('3 - glass surface'!AA:AA,'3 - glass surface'!C:C,'5 - All data'!B92,'3 - glass surface'!D:D,'5 - All data'!D92,'3 - glass surface'!E:E,'5 - All data'!C92)</f>
        <v>0</v>
      </c>
      <c r="G92" s="33">
        <f t="shared" si="16"/>
        <v>10</v>
      </c>
      <c r="H92" s="117">
        <f t="shared" si="14"/>
        <v>1</v>
      </c>
    </row>
    <row r="93" spans="1:11" x14ac:dyDescent="0.2">
      <c r="A93" s="33" t="s">
        <v>276</v>
      </c>
      <c r="B93" s="46">
        <v>2</v>
      </c>
      <c r="C93" s="33" t="s">
        <v>191</v>
      </c>
      <c r="D93" s="33">
        <v>0.1</v>
      </c>
      <c r="E93" s="33">
        <f>SUMIFS('3 - glass surface'!X:X,'3 - glass surface'!C:C,'5 - All data'!B93,'3 - glass surface'!D:D,'5 - All data'!D93,'3 - glass surface'!E:E,'5 - All data'!C93)+SUMIFS('3 - glass surface'!Y:Y,'3 - glass surface'!C:C,'5 - All data'!B93,'3 - glass surface'!D:D,'5 - All data'!D93,'3 - glass surface'!E:E,'5 - All data'!C93)</f>
        <v>6</v>
      </c>
      <c r="F93" s="33">
        <f>SUMIFS('3 - glass surface'!Z:Z,'3 - glass surface'!C:C,'5 - All data'!B93,'3 - glass surface'!D:D,'5 - All data'!D93,'3 - glass surface'!E:E,'5 - All data'!C93)+SUMIFS('3 - glass surface'!AA:AA,'3 - glass surface'!C:C,'5 - All data'!B93,'3 - glass surface'!D:D,'5 - All data'!D93,'3 - glass surface'!E:E,'5 - All data'!C93)</f>
        <v>5</v>
      </c>
      <c r="G93" s="33">
        <f t="shared" si="16"/>
        <v>11</v>
      </c>
      <c r="H93" s="117">
        <f t="shared" si="14"/>
        <v>0.54545454545454541</v>
      </c>
    </row>
    <row r="94" spans="1:11" x14ac:dyDescent="0.2">
      <c r="A94" s="33" t="s">
        <v>276</v>
      </c>
      <c r="B94" s="46">
        <v>24</v>
      </c>
      <c r="C94" s="33" t="s">
        <v>162</v>
      </c>
      <c r="D94" s="33">
        <v>0.1</v>
      </c>
      <c r="E94" s="33">
        <f>SUMIFS('3 - glass surface'!X:X,'3 - glass surface'!C:C,'5 - All data'!B94,'3 - glass surface'!D:D,'5 - All data'!D94,'3 - glass surface'!E:E,'5 - All data'!C94)+SUMIFS('3 - glass surface'!Y:Y,'3 - glass surface'!C:C,'5 - All data'!B94,'3 - glass surface'!D:D,'5 - All data'!D94,'3 - glass surface'!E:E,'5 - All data'!C94)</f>
        <v>4</v>
      </c>
      <c r="F94" s="33">
        <f>SUMIFS('3 - glass surface'!Z:Z,'3 - glass surface'!C:C,'5 - All data'!B94,'3 - glass surface'!D:D,'5 - All data'!D94,'3 - glass surface'!E:E,'5 - All data'!C94)+SUMIFS('3 - glass surface'!AA:AA,'3 - glass surface'!C:C,'5 - All data'!B94,'3 - glass surface'!D:D,'5 - All data'!D94,'3 - glass surface'!E:E,'5 - All data'!C94)</f>
        <v>5</v>
      </c>
      <c r="G94" s="33">
        <f t="shared" si="16"/>
        <v>9</v>
      </c>
      <c r="H94" s="117">
        <f t="shared" si="14"/>
        <v>0.44444444444444442</v>
      </c>
    </row>
    <row r="95" spans="1:11" x14ac:dyDescent="0.2">
      <c r="A95" s="33" t="s">
        <v>276</v>
      </c>
      <c r="B95" s="46">
        <v>24</v>
      </c>
      <c r="C95" s="33" t="s">
        <v>163</v>
      </c>
      <c r="D95" s="33">
        <v>0.1</v>
      </c>
      <c r="E95" s="33">
        <f>SUMIFS('3 - glass surface'!X:X,'3 - glass surface'!C:C,'5 - All data'!B95,'3 - glass surface'!D:D,'5 - All data'!D95,'3 - glass surface'!E:E,'5 - All data'!C95)+SUMIFS('3 - glass surface'!Y:Y,'3 - glass surface'!C:C,'5 - All data'!B95,'3 - glass surface'!D:D,'5 - All data'!D95,'3 - glass surface'!E:E,'5 - All data'!C95)</f>
        <v>5</v>
      </c>
      <c r="F95" s="33">
        <f>SUMIFS('3 - glass surface'!Z:Z,'3 - glass surface'!C:C,'5 - All data'!B95,'3 - glass surface'!D:D,'5 - All data'!D95,'3 - glass surface'!E:E,'5 - All data'!C95)+SUMIFS('3 - glass surface'!AA:AA,'3 - glass surface'!C:C,'5 - All data'!B95,'3 - glass surface'!D:D,'5 - All data'!D95,'3 - glass surface'!E:E,'5 - All data'!C95)</f>
        <v>6</v>
      </c>
      <c r="G95" s="33">
        <f t="shared" si="16"/>
        <v>11</v>
      </c>
      <c r="H95" s="117">
        <f t="shared" si="14"/>
        <v>0.45454545454545453</v>
      </c>
    </row>
    <row r="96" spans="1:11" x14ac:dyDescent="0.2">
      <c r="A96" s="33" t="s">
        <v>276</v>
      </c>
      <c r="B96" s="46">
        <v>24</v>
      </c>
      <c r="C96" s="33" t="s">
        <v>164</v>
      </c>
      <c r="D96" s="33">
        <v>0.1</v>
      </c>
      <c r="E96" s="33">
        <f>SUMIFS('3 - glass surface'!X:X,'3 - glass surface'!C:C,'5 - All data'!B96,'3 - glass surface'!D:D,'5 - All data'!D96,'3 - glass surface'!E:E,'5 - All data'!C96)+SUMIFS('3 - glass surface'!Y:Y,'3 - glass surface'!C:C,'5 - All data'!B96,'3 - glass surface'!D:D,'5 - All data'!D96,'3 - glass surface'!E:E,'5 - All data'!C96)</f>
        <v>9</v>
      </c>
      <c r="F96" s="33">
        <f>SUMIFS('3 - glass surface'!Z:Z,'3 - glass surface'!C:C,'5 - All data'!B96,'3 - glass surface'!D:D,'5 - All data'!D96,'3 - glass surface'!E:E,'5 - All data'!C96)+SUMIFS('3 - glass surface'!AA:AA,'3 - glass surface'!C:C,'5 - All data'!B96,'3 - glass surface'!D:D,'5 - All data'!D96,'3 - glass surface'!E:E,'5 - All data'!C96)</f>
        <v>3</v>
      </c>
      <c r="G96" s="33">
        <f t="shared" si="16"/>
        <v>12</v>
      </c>
      <c r="H96" s="117">
        <f t="shared" si="14"/>
        <v>0.75</v>
      </c>
    </row>
    <row r="97" spans="1:8" x14ac:dyDescent="0.2">
      <c r="A97" s="33" t="s">
        <v>276</v>
      </c>
      <c r="B97" s="46">
        <v>24</v>
      </c>
      <c r="C97" s="85" t="s">
        <v>249</v>
      </c>
      <c r="D97" s="33">
        <v>0.1</v>
      </c>
      <c r="E97" s="33">
        <f>SUMIFS('3 - glass surface'!X:X,'3 - glass surface'!C:C,'5 - All data'!B97,'3 - glass surface'!D:D,'5 - All data'!D97,'3 - glass surface'!E:E,'5 - All data'!C97)+SUMIFS('3 - glass surface'!Y:Y,'3 - glass surface'!C:C,'5 - All data'!B97,'3 - glass surface'!D:D,'5 - All data'!D97,'3 - glass surface'!E:E,'5 - All data'!C97)</f>
        <v>0</v>
      </c>
      <c r="F97" s="33">
        <f>SUMIFS('3 - glass surface'!Z:Z,'3 - glass surface'!C:C,'5 - All data'!B97,'3 - glass surface'!D:D,'5 - All data'!D97,'3 - glass surface'!E:E,'5 - All data'!C97)+SUMIFS('3 - glass surface'!AA:AA,'3 - glass surface'!C:C,'5 - All data'!B97,'3 - glass surface'!D:D,'5 - All data'!D97,'3 - glass surface'!E:E,'5 - All data'!C97)</f>
        <v>10</v>
      </c>
      <c r="G97" s="33">
        <f t="shared" si="16"/>
        <v>10</v>
      </c>
      <c r="H97" s="117">
        <f t="shared" si="14"/>
        <v>0</v>
      </c>
    </row>
    <row r="98" spans="1:8" x14ac:dyDescent="0.2">
      <c r="A98" s="33" t="s">
        <v>276</v>
      </c>
      <c r="B98" s="46">
        <v>24</v>
      </c>
      <c r="C98" s="85" t="s">
        <v>251</v>
      </c>
      <c r="D98" s="33">
        <v>0.1</v>
      </c>
      <c r="E98" s="33">
        <f>SUMIFS('3 - glass surface'!X:X,'3 - glass surface'!C:C,'5 - All data'!B98,'3 - glass surface'!D:D,'5 - All data'!D98,'3 - glass surface'!E:E,'5 - All data'!C98)+SUMIFS('3 - glass surface'!Y:Y,'3 - glass surface'!C:C,'5 - All data'!B98,'3 - glass surface'!D:D,'5 - All data'!D98,'3 - glass surface'!E:E,'5 - All data'!C98)</f>
        <v>6</v>
      </c>
      <c r="F98" s="33">
        <f>SUMIFS('3 - glass surface'!Z:Z,'3 - glass surface'!C:C,'5 - All data'!B98,'3 - glass surface'!D:D,'5 - All data'!D98,'3 - glass surface'!E:E,'5 - All data'!C98)+SUMIFS('3 - glass surface'!AA:AA,'3 - glass surface'!C:C,'5 - All data'!B98,'3 - glass surface'!D:D,'5 - All data'!D98,'3 - glass surface'!E:E,'5 - All data'!C98)</f>
        <v>4</v>
      </c>
      <c r="G98" s="33">
        <f t="shared" ref="G98:G129" si="17">SUM(E98:F98)</f>
        <v>10</v>
      </c>
      <c r="H98" s="117">
        <f t="shared" si="14"/>
        <v>0.6</v>
      </c>
    </row>
    <row r="99" spans="1:8" x14ac:dyDescent="0.2">
      <c r="A99" s="33" t="s">
        <v>276</v>
      </c>
      <c r="B99" s="46">
        <v>48</v>
      </c>
      <c r="C99" s="33" t="s">
        <v>170</v>
      </c>
      <c r="D99" s="33">
        <v>0.1</v>
      </c>
      <c r="E99" s="33">
        <f>SUMIFS('3 - glass surface'!X:X,'3 - glass surface'!C:C,'5 - All data'!B99,'3 - glass surface'!D:D,'5 - All data'!D99,'3 - glass surface'!E:E,'5 - All data'!C99)+SUMIFS('3 - glass surface'!Y:Y,'3 - glass surface'!C:C,'5 - All data'!B99,'3 - glass surface'!D:D,'5 - All data'!D99,'3 - glass surface'!E:E,'5 - All data'!C99)</f>
        <v>4</v>
      </c>
      <c r="F99" s="33">
        <f>SUMIFS('3 - glass surface'!Z:Z,'3 - glass surface'!C:C,'5 - All data'!B99,'3 - glass surface'!D:D,'5 - All data'!D99,'3 - glass surface'!E:E,'5 - All data'!C99)+SUMIFS('3 - glass surface'!AA:AA,'3 - glass surface'!C:C,'5 - All data'!B99,'3 - glass surface'!D:D,'5 - All data'!D99,'3 - glass surface'!E:E,'5 - All data'!C99)</f>
        <v>7</v>
      </c>
      <c r="G99" s="33">
        <f t="shared" si="17"/>
        <v>11</v>
      </c>
      <c r="H99" s="117">
        <f t="shared" si="14"/>
        <v>0.36363636363636365</v>
      </c>
    </row>
    <row r="100" spans="1:8" x14ac:dyDescent="0.2">
      <c r="A100" s="33" t="s">
        <v>276</v>
      </c>
      <c r="B100" s="46">
        <v>48</v>
      </c>
      <c r="C100" s="33" t="s">
        <v>171</v>
      </c>
      <c r="D100" s="33">
        <v>0.1</v>
      </c>
      <c r="E100" s="33">
        <f>SUMIFS('3 - glass surface'!X:X,'3 - glass surface'!C:C,'5 - All data'!B100,'3 - glass surface'!D:D,'5 - All data'!D100,'3 - glass surface'!E:E,'5 - All data'!C100)+SUMIFS('3 - glass surface'!Y:Y,'3 - glass surface'!C:C,'5 - All data'!B100,'3 - glass surface'!D:D,'5 - All data'!D100,'3 - glass surface'!E:E,'5 - All data'!C100)</f>
        <v>3</v>
      </c>
      <c r="F100" s="33">
        <f>SUMIFS('3 - glass surface'!Z:Z,'3 - glass surface'!C:C,'5 - All data'!B100,'3 - glass surface'!D:D,'5 - All data'!D100,'3 - glass surface'!E:E,'5 - All data'!C100)+SUMIFS('3 - glass surface'!AA:AA,'3 - glass surface'!C:C,'5 - All data'!B100,'3 - glass surface'!D:D,'5 - All data'!D100,'3 - glass surface'!E:E,'5 - All data'!C100)</f>
        <v>7</v>
      </c>
      <c r="G100" s="33">
        <f t="shared" si="17"/>
        <v>10</v>
      </c>
      <c r="H100" s="117">
        <f t="shared" si="14"/>
        <v>0.3</v>
      </c>
    </row>
    <row r="101" spans="1:8" x14ac:dyDescent="0.2">
      <c r="A101" s="33" t="s">
        <v>276</v>
      </c>
      <c r="B101" s="46">
        <v>48</v>
      </c>
      <c r="C101" s="33" t="s">
        <v>213</v>
      </c>
      <c r="D101" s="33">
        <v>0.1</v>
      </c>
      <c r="E101" s="33">
        <f>SUMIFS('3 - glass surface'!X:X,'3 - glass surface'!C:C,'5 - All data'!B101,'3 - glass surface'!D:D,'5 - All data'!D101,'3 - glass surface'!E:E,'5 - All data'!C101)+SUMIFS('3 - glass surface'!Y:Y,'3 - glass surface'!C:C,'5 - All data'!B101,'3 - glass surface'!D:D,'5 - All data'!D101,'3 - glass surface'!E:E,'5 - All data'!C101)</f>
        <v>0</v>
      </c>
      <c r="F101" s="33">
        <f>SUMIFS('3 - glass surface'!Z:Z,'3 - glass surface'!C:C,'5 - All data'!B101,'3 - glass surface'!D:D,'5 - All data'!D101,'3 - glass surface'!E:E,'5 - All data'!C101)+SUMIFS('3 - glass surface'!AA:AA,'3 - glass surface'!C:C,'5 - All data'!B101,'3 - glass surface'!D:D,'5 - All data'!D101,'3 - glass surface'!E:E,'5 - All data'!C101)</f>
        <v>10</v>
      </c>
      <c r="G101" s="33">
        <f t="shared" si="17"/>
        <v>10</v>
      </c>
      <c r="H101" s="117">
        <f t="shared" si="14"/>
        <v>0</v>
      </c>
    </row>
    <row r="102" spans="1:8" x14ac:dyDescent="0.2">
      <c r="A102" s="33" t="s">
        <v>276</v>
      </c>
      <c r="B102" s="46">
        <v>48</v>
      </c>
      <c r="C102" s="33" t="s">
        <v>214</v>
      </c>
      <c r="D102" s="33">
        <v>0.1</v>
      </c>
      <c r="E102" s="33">
        <f>SUMIFS('3 - glass surface'!X:X,'3 - glass surface'!C:C,'5 - All data'!B102,'3 - glass surface'!D:D,'5 - All data'!D102,'3 - glass surface'!E:E,'5 - All data'!C102)+SUMIFS('3 - glass surface'!Y:Y,'3 - glass surface'!C:C,'5 - All data'!B102,'3 - glass surface'!D:D,'5 - All data'!D102,'3 - glass surface'!E:E,'5 - All data'!C102)</f>
        <v>0</v>
      </c>
      <c r="F102" s="33">
        <f>SUMIFS('3 - glass surface'!Z:Z,'3 - glass surface'!C:C,'5 - All data'!B102,'3 - glass surface'!D:D,'5 - All data'!D102,'3 - glass surface'!E:E,'5 - All data'!C102)+SUMIFS('3 - glass surface'!AA:AA,'3 - glass surface'!C:C,'5 - All data'!B102,'3 - glass surface'!D:D,'5 - All data'!D102,'3 - glass surface'!E:E,'5 - All data'!C102)</f>
        <v>8</v>
      </c>
      <c r="G102" s="33">
        <f t="shared" si="17"/>
        <v>8</v>
      </c>
      <c r="H102" s="117">
        <f t="shared" si="14"/>
        <v>0</v>
      </c>
    </row>
    <row r="103" spans="1:8" x14ac:dyDescent="0.2">
      <c r="A103" s="33" t="s">
        <v>276</v>
      </c>
      <c r="B103" s="46">
        <v>48</v>
      </c>
      <c r="C103" s="33" t="s">
        <v>215</v>
      </c>
      <c r="D103" s="33">
        <v>0.1</v>
      </c>
      <c r="E103" s="33">
        <f>SUMIFS('3 - glass surface'!X:X,'3 - glass surface'!C:C,'5 - All data'!B103,'3 - glass surface'!D:D,'5 - All data'!D103,'3 - glass surface'!E:E,'5 - All data'!C103)+SUMIFS('3 - glass surface'!Y:Y,'3 - glass surface'!C:C,'5 - All data'!B103,'3 - glass surface'!D:D,'5 - All data'!D103,'3 - glass surface'!E:E,'5 - All data'!C103)</f>
        <v>0</v>
      </c>
      <c r="F103" s="33">
        <f>SUMIFS('3 - glass surface'!Z:Z,'3 - glass surface'!C:C,'5 - All data'!B103,'3 - glass surface'!D:D,'5 - All data'!D103,'3 - glass surface'!E:E,'5 - All data'!C103)+SUMIFS('3 - glass surface'!AA:AA,'3 - glass surface'!C:C,'5 - All data'!B103,'3 - glass surface'!D:D,'5 - All data'!D103,'3 - glass surface'!E:E,'5 - All data'!C103)</f>
        <v>8</v>
      </c>
      <c r="G103" s="33">
        <f t="shared" si="17"/>
        <v>8</v>
      </c>
      <c r="H103" s="117">
        <f t="shared" si="14"/>
        <v>0</v>
      </c>
    </row>
    <row r="104" spans="1:8" x14ac:dyDescent="0.2">
      <c r="A104" s="33" t="s">
        <v>276</v>
      </c>
      <c r="B104" s="46">
        <v>48</v>
      </c>
      <c r="C104" s="33" t="s">
        <v>216</v>
      </c>
      <c r="D104" s="33">
        <v>0.1</v>
      </c>
      <c r="E104" s="33">
        <f>SUMIFS('3 - glass surface'!X:X,'3 - glass surface'!C:C,'5 - All data'!B104,'3 - glass surface'!D:D,'5 - All data'!D104,'3 - glass surface'!E:E,'5 - All data'!C104)+SUMIFS('3 - glass surface'!Y:Y,'3 - glass surface'!C:C,'5 - All data'!B104,'3 - glass surface'!D:D,'5 - All data'!D104,'3 - glass surface'!E:E,'5 - All data'!C104)</f>
        <v>0</v>
      </c>
      <c r="F104" s="33">
        <f>SUMIFS('3 - glass surface'!Z:Z,'3 - glass surface'!C:C,'5 - All data'!B104,'3 - glass surface'!D:D,'5 - All data'!D104,'3 - glass surface'!E:E,'5 - All data'!C104)+SUMIFS('3 - glass surface'!AA:AA,'3 - glass surface'!C:C,'5 - All data'!B104,'3 - glass surface'!D:D,'5 - All data'!D104,'3 - glass surface'!E:E,'5 - All data'!C104)</f>
        <v>11</v>
      </c>
      <c r="G104" s="33">
        <f t="shared" si="17"/>
        <v>11</v>
      </c>
      <c r="H104" s="117">
        <f t="shared" si="14"/>
        <v>0</v>
      </c>
    </row>
    <row r="105" spans="1:8" x14ac:dyDescent="0.2">
      <c r="A105" s="33" t="s">
        <v>276</v>
      </c>
      <c r="B105" s="46">
        <v>48</v>
      </c>
      <c r="C105" s="33" t="s">
        <v>230</v>
      </c>
      <c r="D105" s="33">
        <v>0.1</v>
      </c>
      <c r="E105" s="33">
        <f>SUMIFS('3 - glass surface'!X:X,'3 - glass surface'!C:C,'5 - All data'!B105,'3 - glass surface'!D:D,'5 - All data'!D105,'3 - glass surface'!E:E,'5 - All data'!C105)+SUMIFS('3 - glass surface'!Y:Y,'3 - glass surface'!C:C,'5 - All data'!B105,'3 - glass surface'!D:D,'5 - All data'!D105,'3 - glass surface'!E:E,'5 - All data'!C105)</f>
        <v>1</v>
      </c>
      <c r="F105" s="33">
        <f>SUMIFS('3 - glass surface'!Z:Z,'3 - glass surface'!C:C,'5 - All data'!B105,'3 - glass surface'!D:D,'5 - All data'!D105,'3 - glass surface'!E:E,'5 - All data'!C105)+SUMIFS('3 - glass surface'!AA:AA,'3 - glass surface'!C:C,'5 - All data'!B105,'3 - glass surface'!D:D,'5 - All data'!D105,'3 - glass surface'!E:E,'5 - All data'!C105)</f>
        <v>9</v>
      </c>
      <c r="G105" s="33">
        <f t="shared" si="17"/>
        <v>10</v>
      </c>
      <c r="H105" s="117">
        <f t="shared" si="14"/>
        <v>0.1</v>
      </c>
    </row>
    <row r="106" spans="1:8" x14ac:dyDescent="0.2">
      <c r="A106" s="33" t="s">
        <v>276</v>
      </c>
      <c r="B106" s="46">
        <v>336</v>
      </c>
      <c r="C106" s="33" t="s">
        <v>192</v>
      </c>
      <c r="D106" s="33">
        <v>0.1</v>
      </c>
      <c r="E106" s="33">
        <f>SUMIFS('3 - glass surface'!X:X,'3 - glass surface'!C:C,'5 - All data'!B106,'3 - glass surface'!D:D,'5 - All data'!D106,'3 - glass surface'!E:E,'5 - All data'!C106)+SUMIFS('3 - glass surface'!Y:Y,'3 - glass surface'!C:C,'5 - All data'!B106,'3 - glass surface'!D:D,'5 - All data'!D106,'3 - glass surface'!E:E,'5 - All data'!C106)</f>
        <v>0</v>
      </c>
      <c r="F106" s="33">
        <f>SUMIFS('3 - glass surface'!Z:Z,'3 - glass surface'!C:C,'5 - All data'!B106,'3 - glass surface'!D:D,'5 - All data'!D106,'3 - glass surface'!E:E,'5 - All data'!C106)+SUMIFS('3 - glass surface'!AA:AA,'3 - glass surface'!C:C,'5 - All data'!B106,'3 - glass surface'!D:D,'5 - All data'!D106,'3 - glass surface'!E:E,'5 - All data'!C106)</f>
        <v>10</v>
      </c>
      <c r="G106" s="33">
        <f t="shared" si="17"/>
        <v>10</v>
      </c>
      <c r="H106" s="117">
        <f t="shared" si="14"/>
        <v>0</v>
      </c>
    </row>
    <row r="107" spans="1:8" x14ac:dyDescent="0.2">
      <c r="A107" s="33" t="s">
        <v>276</v>
      </c>
      <c r="B107" s="46">
        <v>336</v>
      </c>
      <c r="C107" s="33" t="s">
        <v>193</v>
      </c>
      <c r="D107" s="33">
        <v>0.1</v>
      </c>
      <c r="E107" s="33">
        <f>SUMIFS('3 - glass surface'!X:X,'3 - glass surface'!C:C,'5 - All data'!B107,'3 - glass surface'!D:D,'5 - All data'!D107,'3 - glass surface'!E:E,'5 - All data'!C107)+SUMIFS('3 - glass surface'!Y:Y,'3 - glass surface'!C:C,'5 - All data'!B107,'3 - glass surface'!D:D,'5 - All data'!D107,'3 - glass surface'!E:E,'5 - All data'!C107)</f>
        <v>0</v>
      </c>
      <c r="F107" s="33">
        <f>SUMIFS('3 - glass surface'!Z:Z,'3 - glass surface'!C:C,'5 - All data'!B107,'3 - glass surface'!D:D,'5 - All data'!D107,'3 - glass surface'!E:E,'5 - All data'!C107)+SUMIFS('3 - glass surface'!AA:AA,'3 - glass surface'!C:C,'5 - All data'!B107,'3 - glass surface'!D:D,'5 - All data'!D107,'3 - glass surface'!E:E,'5 - All data'!C107)</f>
        <v>8</v>
      </c>
      <c r="G107" s="33">
        <f t="shared" si="17"/>
        <v>8</v>
      </c>
      <c r="H107" s="117">
        <f t="shared" si="14"/>
        <v>0</v>
      </c>
    </row>
    <row r="108" spans="1:8" x14ac:dyDescent="0.2">
      <c r="A108" s="33" t="s">
        <v>276</v>
      </c>
      <c r="B108" s="46">
        <v>336</v>
      </c>
      <c r="C108" s="33" t="s">
        <v>194</v>
      </c>
      <c r="D108" s="33">
        <v>0.1</v>
      </c>
      <c r="E108" s="33">
        <f>SUMIFS('3 - glass surface'!X:X,'3 - glass surface'!C:C,'5 - All data'!B108,'3 - glass surface'!D:D,'5 - All data'!D108,'3 - glass surface'!E:E,'5 - All data'!C108)+SUMIFS('3 - glass surface'!Y:Y,'3 - glass surface'!C:C,'5 - All data'!B108,'3 - glass surface'!D:D,'5 - All data'!D108,'3 - glass surface'!E:E,'5 - All data'!C108)</f>
        <v>0</v>
      </c>
      <c r="F108" s="33">
        <f>SUMIFS('3 - glass surface'!Z:Z,'3 - glass surface'!C:C,'5 - All data'!B108,'3 - glass surface'!D:D,'5 - All data'!D108,'3 - glass surface'!E:E,'5 - All data'!C108)+SUMIFS('3 - glass surface'!AA:AA,'3 - glass surface'!C:C,'5 - All data'!B108,'3 - glass surface'!D:D,'5 - All data'!D108,'3 - glass surface'!E:E,'5 - All data'!C108)</f>
        <v>9</v>
      </c>
      <c r="G108" s="33">
        <f t="shared" si="17"/>
        <v>9</v>
      </c>
      <c r="H108" s="117">
        <f t="shared" si="14"/>
        <v>0</v>
      </c>
    </row>
    <row r="109" spans="1:8" x14ac:dyDescent="0.2">
      <c r="A109" s="33" t="s">
        <v>276</v>
      </c>
      <c r="B109" s="46">
        <v>336</v>
      </c>
      <c r="C109" s="33" t="s">
        <v>195</v>
      </c>
      <c r="D109" s="33">
        <v>0.1</v>
      </c>
      <c r="E109" s="33">
        <f>SUMIFS('3 - glass surface'!X:X,'3 - glass surface'!C:C,'5 - All data'!B109,'3 - glass surface'!D:D,'5 - All data'!D109,'3 - glass surface'!E:E,'5 - All data'!C109)+SUMIFS('3 - glass surface'!Y:Y,'3 - glass surface'!C:C,'5 - All data'!B109,'3 - glass surface'!D:D,'5 - All data'!D109,'3 - glass surface'!E:E,'5 - All data'!C109)</f>
        <v>0</v>
      </c>
      <c r="F109" s="33">
        <f>SUMIFS('3 - glass surface'!Z:Z,'3 - glass surface'!C:C,'5 - All data'!B109,'3 - glass surface'!D:D,'5 - All data'!D109,'3 - glass surface'!E:E,'5 - All data'!C109)+SUMIFS('3 - glass surface'!AA:AA,'3 - glass surface'!C:C,'5 - All data'!B109,'3 - glass surface'!D:D,'5 - All data'!D109,'3 - glass surface'!E:E,'5 - All data'!C109)</f>
        <v>9</v>
      </c>
      <c r="G109" s="33">
        <f t="shared" si="17"/>
        <v>9</v>
      </c>
      <c r="H109" s="117">
        <f t="shared" si="14"/>
        <v>0</v>
      </c>
    </row>
    <row r="110" spans="1:8" x14ac:dyDescent="0.2">
      <c r="A110" s="33" t="s">
        <v>276</v>
      </c>
      <c r="B110" s="46">
        <v>336</v>
      </c>
      <c r="C110" s="33" t="s">
        <v>196</v>
      </c>
      <c r="D110" s="33">
        <v>0.1</v>
      </c>
      <c r="E110" s="33">
        <f>SUMIFS('3 - glass surface'!X:X,'3 - glass surface'!C:C,'5 - All data'!B110,'3 - glass surface'!D:D,'5 - All data'!D110,'3 - glass surface'!E:E,'5 - All data'!C110)+SUMIFS('3 - glass surface'!Y:Y,'3 - glass surface'!C:C,'5 - All data'!B110,'3 - glass surface'!D:D,'5 - All data'!D110,'3 - glass surface'!E:E,'5 - All data'!C110)</f>
        <v>0</v>
      </c>
      <c r="F110" s="33">
        <f>SUMIFS('3 - glass surface'!Z:Z,'3 - glass surface'!C:C,'5 - All data'!B110,'3 - glass surface'!D:D,'5 - All data'!D110,'3 - glass surface'!E:E,'5 - All data'!C110)+SUMIFS('3 - glass surface'!AA:AA,'3 - glass surface'!C:C,'5 - All data'!B110,'3 - glass surface'!D:D,'5 - All data'!D110,'3 - glass surface'!E:E,'5 - All data'!C110)</f>
        <v>10</v>
      </c>
      <c r="G110" s="33">
        <f t="shared" si="17"/>
        <v>10</v>
      </c>
      <c r="H110" s="117">
        <f t="shared" si="14"/>
        <v>0</v>
      </c>
    </row>
    <row r="111" spans="1:8" x14ac:dyDescent="0.2">
      <c r="A111" s="33" t="s">
        <v>276</v>
      </c>
      <c r="B111" s="46">
        <v>336</v>
      </c>
      <c r="C111" s="33" t="s">
        <v>197</v>
      </c>
      <c r="D111" s="33">
        <v>0.1</v>
      </c>
      <c r="E111" s="33">
        <f>SUMIFS('3 - glass surface'!X:X,'3 - glass surface'!C:C,'5 - All data'!B111,'3 - glass surface'!D:D,'5 - All data'!D111,'3 - glass surface'!E:E,'5 - All data'!C111)+SUMIFS('3 - glass surface'!Y:Y,'3 - glass surface'!C:C,'5 - All data'!B111,'3 - glass surface'!D:D,'5 - All data'!D111,'3 - glass surface'!E:E,'5 - All data'!C111)</f>
        <v>0</v>
      </c>
      <c r="F111" s="33">
        <f>SUMIFS('3 - glass surface'!Z:Z,'3 - glass surface'!C:C,'5 - All data'!B111,'3 - glass surface'!D:D,'5 - All data'!D111,'3 - glass surface'!E:E,'5 - All data'!C111)+SUMIFS('3 - glass surface'!AA:AA,'3 - glass surface'!C:C,'5 - All data'!B111,'3 - glass surface'!D:D,'5 - All data'!D111,'3 - glass surface'!E:E,'5 - All data'!C111)</f>
        <v>9</v>
      </c>
      <c r="G111" s="33">
        <f t="shared" si="17"/>
        <v>9</v>
      </c>
      <c r="H111" s="117">
        <f t="shared" si="14"/>
        <v>0</v>
      </c>
    </row>
    <row r="112" spans="1:8" x14ac:dyDescent="0.2">
      <c r="A112" s="33" t="s">
        <v>276</v>
      </c>
      <c r="B112" s="46">
        <v>2</v>
      </c>
      <c r="C112" s="33" t="s">
        <v>186</v>
      </c>
      <c r="D112" s="33">
        <v>1</v>
      </c>
      <c r="E112" s="33">
        <f>SUMIFS('3 - glass surface'!X:X,'3 - glass surface'!C:C,'5 - All data'!B112,'3 - glass surface'!D:D,'5 - All data'!D112,'3 - glass surface'!E:E,'5 - All data'!C112)+SUMIFS('3 - glass surface'!Y:Y,'3 - glass surface'!C:C,'5 - All data'!B112,'3 - glass surface'!D:D,'5 - All data'!D112,'3 - glass surface'!E:E,'5 - All data'!C112)</f>
        <v>18</v>
      </c>
      <c r="F112" s="33">
        <f>SUMIFS('3 - glass surface'!Z:Z,'3 - glass surface'!C:C,'5 - All data'!B112,'3 - glass surface'!D:D,'5 - All data'!D112,'3 - glass surface'!E:E,'5 - All data'!C112)+SUMIFS('3 - glass surface'!AA:AA,'3 - glass surface'!C:C,'5 - All data'!B112,'3 - glass surface'!D:D,'5 - All data'!D112,'3 - glass surface'!E:E,'5 - All data'!C112)</f>
        <v>2</v>
      </c>
      <c r="G112" s="33">
        <f t="shared" si="17"/>
        <v>20</v>
      </c>
      <c r="H112" s="117">
        <f t="shared" si="14"/>
        <v>0.9</v>
      </c>
    </row>
    <row r="113" spans="1:8" x14ac:dyDescent="0.2">
      <c r="A113" s="33" t="s">
        <v>276</v>
      </c>
      <c r="B113" s="46">
        <v>2</v>
      </c>
      <c r="C113" s="33" t="s">
        <v>210</v>
      </c>
      <c r="D113" s="33">
        <v>1</v>
      </c>
      <c r="E113" s="33">
        <f>SUMIFS('3 - glass surface'!X:X,'3 - glass surface'!C:C,'5 - All data'!B113,'3 - glass surface'!D:D,'5 - All data'!D113,'3 - glass surface'!E:E,'5 - All data'!C113)+SUMIFS('3 - glass surface'!Y:Y,'3 - glass surface'!C:C,'5 - All data'!B113,'3 - glass surface'!D:D,'5 - All data'!D113,'3 - glass surface'!E:E,'5 - All data'!C113)</f>
        <v>17</v>
      </c>
      <c r="F113" s="33">
        <f>SUMIFS('3 - glass surface'!Z:Z,'3 - glass surface'!C:C,'5 - All data'!B113,'3 - glass surface'!D:D,'5 - All data'!D113,'3 - glass surface'!E:E,'5 - All data'!C113)+SUMIFS('3 - glass surface'!AA:AA,'3 - glass surface'!C:C,'5 - All data'!B113,'3 - glass surface'!D:D,'5 - All data'!D113,'3 - glass surface'!E:E,'5 - All data'!C113)</f>
        <v>1</v>
      </c>
      <c r="G113" s="33">
        <f t="shared" si="17"/>
        <v>18</v>
      </c>
      <c r="H113" s="117">
        <f t="shared" si="14"/>
        <v>0.94444444444444442</v>
      </c>
    </row>
    <row r="114" spans="1:8" x14ac:dyDescent="0.2">
      <c r="A114" s="33" t="s">
        <v>276</v>
      </c>
      <c r="B114" s="46">
        <v>2</v>
      </c>
      <c r="C114" s="33" t="s">
        <v>211</v>
      </c>
      <c r="D114" s="33">
        <v>1</v>
      </c>
      <c r="E114" s="33">
        <f>SUMIFS('3 - glass surface'!X:X,'3 - glass surface'!C:C,'5 - All data'!B114,'3 - glass surface'!D:D,'5 - All data'!D114,'3 - glass surface'!E:E,'5 - All data'!C114)+SUMIFS('3 - glass surface'!Y:Y,'3 - glass surface'!C:C,'5 - All data'!B114,'3 - glass surface'!D:D,'5 - All data'!D114,'3 - glass surface'!E:E,'5 - All data'!C114)</f>
        <v>24</v>
      </c>
      <c r="F114" s="33">
        <f>SUMIFS('3 - glass surface'!Z:Z,'3 - glass surface'!C:C,'5 - All data'!B114,'3 - glass surface'!D:D,'5 - All data'!D114,'3 - glass surface'!E:E,'5 - All data'!C114)+SUMIFS('3 - glass surface'!AA:AA,'3 - glass surface'!C:C,'5 - All data'!B114,'3 - glass surface'!D:D,'5 - All data'!D114,'3 - glass surface'!E:E,'5 - All data'!C114)</f>
        <v>0</v>
      </c>
      <c r="G114" s="33">
        <f t="shared" si="17"/>
        <v>24</v>
      </c>
      <c r="H114" s="117">
        <f t="shared" si="14"/>
        <v>1</v>
      </c>
    </row>
    <row r="115" spans="1:8" x14ac:dyDescent="0.2">
      <c r="A115" s="33" t="s">
        <v>276</v>
      </c>
      <c r="B115" s="46">
        <v>2</v>
      </c>
      <c r="C115" s="33" t="s">
        <v>212</v>
      </c>
      <c r="D115" s="33">
        <v>1</v>
      </c>
      <c r="E115" s="33">
        <f>SUMIFS('3 - glass surface'!X:X,'3 - glass surface'!C:C,'5 - All data'!B115,'3 - glass surface'!D:D,'5 - All data'!D115,'3 - glass surface'!E:E,'5 - All data'!C115)+SUMIFS('3 - glass surface'!Y:Y,'3 - glass surface'!C:C,'5 - All data'!B115,'3 - glass surface'!D:D,'5 - All data'!D115,'3 - glass surface'!E:E,'5 - All data'!C115)</f>
        <v>15</v>
      </c>
      <c r="F115" s="33">
        <f>SUMIFS('3 - glass surface'!Z:Z,'3 - glass surface'!C:C,'5 - All data'!B115,'3 - glass surface'!D:D,'5 - All data'!D115,'3 - glass surface'!E:E,'5 - All data'!C115)+SUMIFS('3 - glass surface'!AA:AA,'3 - glass surface'!C:C,'5 - All data'!B115,'3 - glass surface'!D:D,'5 - All data'!D115,'3 - glass surface'!E:E,'5 - All data'!C115)</f>
        <v>4</v>
      </c>
      <c r="G115" s="33">
        <f t="shared" si="17"/>
        <v>19</v>
      </c>
      <c r="H115" s="117">
        <f t="shared" si="14"/>
        <v>0.78947368421052633</v>
      </c>
    </row>
    <row r="116" spans="1:8" x14ac:dyDescent="0.2">
      <c r="A116" s="33" t="s">
        <v>276</v>
      </c>
      <c r="B116" s="46">
        <v>24</v>
      </c>
      <c r="C116" s="33" t="s">
        <v>184</v>
      </c>
      <c r="D116" s="33">
        <v>1</v>
      </c>
      <c r="E116" s="33">
        <f>SUMIFS('3 - glass surface'!X:X,'3 - glass surface'!C:C,'5 - All data'!B116,'3 - glass surface'!D:D,'5 - All data'!D116,'3 - glass surface'!E:E,'5 - All data'!C116)+SUMIFS('3 - glass surface'!Y:Y,'3 - glass surface'!C:C,'5 - All data'!B116,'3 - glass surface'!D:D,'5 - All data'!D116,'3 - glass surface'!E:E,'5 - All data'!C116)</f>
        <v>0</v>
      </c>
      <c r="F116" s="33">
        <f>SUMIFS('3 - glass surface'!Z:Z,'3 - glass surface'!C:C,'5 - All data'!B116,'3 - glass surface'!D:D,'5 - All data'!D116,'3 - glass surface'!E:E,'5 - All data'!C116)+SUMIFS('3 - glass surface'!AA:AA,'3 - glass surface'!C:C,'5 - All data'!B116,'3 - glass surface'!D:D,'5 - All data'!D116,'3 - glass surface'!E:E,'5 - All data'!C116)</f>
        <v>9</v>
      </c>
      <c r="G116" s="33">
        <f t="shared" si="17"/>
        <v>9</v>
      </c>
      <c r="H116" s="117">
        <f t="shared" si="14"/>
        <v>0</v>
      </c>
    </row>
    <row r="117" spans="1:8" x14ac:dyDescent="0.2">
      <c r="A117" s="33" t="s">
        <v>276</v>
      </c>
      <c r="B117" s="46">
        <v>24</v>
      </c>
      <c r="C117" s="33" t="s">
        <v>185</v>
      </c>
      <c r="D117" s="33">
        <v>1</v>
      </c>
      <c r="E117" s="33">
        <f>SUMIFS('3 - glass surface'!X:X,'3 - glass surface'!C:C,'5 - All data'!B117,'3 - glass surface'!D:D,'5 - All data'!D117,'3 - glass surface'!E:E,'5 - All data'!C117)+SUMIFS('3 - glass surface'!Y:Y,'3 - glass surface'!C:C,'5 - All data'!B117,'3 - glass surface'!D:D,'5 - All data'!D117,'3 - glass surface'!E:E,'5 - All data'!C117)</f>
        <v>1</v>
      </c>
      <c r="F117" s="33">
        <f>SUMIFS('3 - glass surface'!Z:Z,'3 - glass surface'!C:C,'5 - All data'!B117,'3 - glass surface'!D:D,'5 - All data'!D117,'3 - glass surface'!E:E,'5 - All data'!C117)+SUMIFS('3 - glass surface'!AA:AA,'3 - glass surface'!C:C,'5 - All data'!B117,'3 - glass surface'!D:D,'5 - All data'!D117,'3 - glass surface'!E:E,'5 - All data'!C117)</f>
        <v>9</v>
      </c>
      <c r="G117" s="33">
        <f t="shared" si="17"/>
        <v>10</v>
      </c>
      <c r="H117" s="117">
        <f t="shared" si="14"/>
        <v>0.1</v>
      </c>
    </row>
    <row r="118" spans="1:8" x14ac:dyDescent="0.2">
      <c r="A118" s="33" t="s">
        <v>276</v>
      </c>
      <c r="B118" s="46">
        <v>24</v>
      </c>
      <c r="C118" s="85" t="s">
        <v>218</v>
      </c>
      <c r="D118" s="33">
        <v>1</v>
      </c>
      <c r="E118" s="33">
        <f>SUMIFS('3 - glass surface'!X:X,'3 - glass surface'!C:C,'5 - All data'!B118,'3 - glass surface'!D:D,'5 - All data'!D118,'3 - glass surface'!E:E,'5 - All data'!C118)+SUMIFS('3 - glass surface'!Y:Y,'3 - glass surface'!C:C,'5 - All data'!B118,'3 - glass surface'!D:D,'5 - All data'!D118,'3 - glass surface'!E:E,'5 - All data'!C118)</f>
        <v>3</v>
      </c>
      <c r="F118" s="33">
        <f>SUMIFS('3 - glass surface'!Z:Z,'3 - glass surface'!C:C,'5 - All data'!B118,'3 - glass surface'!D:D,'5 - All data'!D118,'3 - glass surface'!E:E,'5 - All data'!C118)+SUMIFS('3 - glass surface'!AA:AA,'3 - glass surface'!C:C,'5 - All data'!B118,'3 - glass surface'!D:D,'5 - All data'!D118,'3 - glass surface'!E:E,'5 - All data'!C118)</f>
        <v>16</v>
      </c>
      <c r="G118" s="33">
        <f t="shared" si="17"/>
        <v>19</v>
      </c>
      <c r="H118" s="117">
        <f t="shared" si="14"/>
        <v>0.15789473684210525</v>
      </c>
    </row>
    <row r="119" spans="1:8" x14ac:dyDescent="0.2">
      <c r="A119" s="33" t="s">
        <v>276</v>
      </c>
      <c r="B119" s="46">
        <v>24</v>
      </c>
      <c r="C119" s="85" t="s">
        <v>219</v>
      </c>
      <c r="D119" s="33">
        <v>1</v>
      </c>
      <c r="E119" s="33">
        <f>SUMIFS('3 - glass surface'!X:X,'3 - glass surface'!C:C,'5 - All data'!B119,'3 - glass surface'!D:D,'5 - All data'!D119,'3 - glass surface'!E:E,'5 - All data'!C119)+SUMIFS('3 - glass surface'!Y:Y,'3 - glass surface'!C:C,'5 - All data'!B119,'3 - glass surface'!D:D,'5 - All data'!D119,'3 - glass surface'!E:E,'5 - All data'!C119)</f>
        <v>1</v>
      </c>
      <c r="F119" s="33">
        <f>SUMIFS('3 - glass surface'!Z:Z,'3 - glass surface'!C:C,'5 - All data'!B119,'3 - glass surface'!D:D,'5 - All data'!D119,'3 - glass surface'!E:E,'5 - All data'!C119)+SUMIFS('3 - glass surface'!AA:AA,'3 - glass surface'!C:C,'5 - All data'!B119,'3 - glass surface'!D:D,'5 - All data'!D119,'3 - glass surface'!E:E,'5 - All data'!C119)</f>
        <v>20</v>
      </c>
      <c r="G119" s="33">
        <f t="shared" si="17"/>
        <v>21</v>
      </c>
      <c r="H119" s="117">
        <f t="shared" si="14"/>
        <v>4.7619047619047616E-2</v>
      </c>
    </row>
    <row r="120" spans="1:8" x14ac:dyDescent="0.2">
      <c r="A120" s="33" t="s">
        <v>276</v>
      </c>
      <c r="B120" s="46">
        <v>24</v>
      </c>
      <c r="C120" s="85" t="s">
        <v>221</v>
      </c>
      <c r="D120" s="33">
        <v>1</v>
      </c>
      <c r="E120" s="33">
        <f>SUMIFS('3 - glass surface'!X:X,'3 - glass surface'!C:C,'5 - All data'!B120,'3 - glass surface'!D:D,'5 - All data'!D120,'3 - glass surface'!E:E,'5 - All data'!C120)+SUMIFS('3 - glass surface'!Y:Y,'3 - glass surface'!C:C,'5 - All data'!B120,'3 - glass surface'!D:D,'5 - All data'!D120,'3 - glass surface'!E:E,'5 - All data'!C120)</f>
        <v>0</v>
      </c>
      <c r="F120" s="33">
        <f>SUMIFS('3 - glass surface'!Z:Z,'3 - glass surface'!C:C,'5 - All data'!B120,'3 - glass surface'!D:D,'5 - All data'!D120,'3 - glass surface'!E:E,'5 - All data'!C120)+SUMIFS('3 - glass surface'!AA:AA,'3 - glass surface'!C:C,'5 - All data'!B120,'3 - glass surface'!D:D,'5 - All data'!D120,'3 - glass surface'!E:E,'5 - All data'!C120)</f>
        <v>21</v>
      </c>
      <c r="G120" s="33">
        <f t="shared" si="17"/>
        <v>21</v>
      </c>
      <c r="H120" s="117">
        <f t="shared" si="14"/>
        <v>0</v>
      </c>
    </row>
    <row r="121" spans="1:8" x14ac:dyDescent="0.2">
      <c r="A121" s="33" t="s">
        <v>276</v>
      </c>
      <c r="B121" s="46">
        <v>24</v>
      </c>
      <c r="C121" s="85" t="s">
        <v>222</v>
      </c>
      <c r="D121" s="33">
        <v>1</v>
      </c>
      <c r="E121" s="33">
        <f>SUMIFS('3 - glass surface'!X:X,'3 - glass surface'!C:C,'5 - All data'!B121,'3 - glass surface'!D:D,'5 - All data'!D121,'3 - glass surface'!E:E,'5 - All data'!C121)+SUMIFS('3 - glass surface'!Y:Y,'3 - glass surface'!C:C,'5 - All data'!B121,'3 - glass surface'!D:D,'5 - All data'!D121,'3 - glass surface'!E:E,'5 - All data'!C121)</f>
        <v>0</v>
      </c>
      <c r="F121" s="33">
        <f>SUMIFS('3 - glass surface'!Z:Z,'3 - glass surface'!C:C,'5 - All data'!B121,'3 - glass surface'!D:D,'5 - All data'!D121,'3 - glass surface'!E:E,'5 - All data'!C121)+SUMIFS('3 - glass surface'!AA:AA,'3 - glass surface'!C:C,'5 - All data'!B121,'3 - glass surface'!D:D,'5 - All data'!D121,'3 - glass surface'!E:E,'5 - All data'!C121)</f>
        <v>18</v>
      </c>
      <c r="G121" s="33">
        <f t="shared" si="17"/>
        <v>18</v>
      </c>
      <c r="H121" s="117">
        <f t="shared" si="14"/>
        <v>0</v>
      </c>
    </row>
    <row r="122" spans="1:8" x14ac:dyDescent="0.2">
      <c r="A122" s="33" t="s">
        <v>276</v>
      </c>
      <c r="B122" s="46">
        <v>48</v>
      </c>
      <c r="C122" s="33" t="s">
        <v>172</v>
      </c>
      <c r="D122" s="33">
        <v>1</v>
      </c>
      <c r="E122" s="33">
        <f>SUMIFS('3 - glass surface'!X:X,'3 - glass surface'!C:C,'5 - All data'!B122,'3 - glass surface'!D:D,'5 - All data'!D122,'3 - glass surface'!E:E,'5 - All data'!C122)+SUMIFS('3 - glass surface'!Y:Y,'3 - glass surface'!C:C,'5 - All data'!B122,'3 - glass surface'!D:D,'5 - All data'!D122,'3 - glass surface'!E:E,'5 - All data'!C122)</f>
        <v>3</v>
      </c>
      <c r="F122" s="33">
        <f>SUMIFS('3 - glass surface'!Z:Z,'3 - glass surface'!C:C,'5 - All data'!B122,'3 - glass surface'!D:D,'5 - All data'!D122,'3 - glass surface'!E:E,'5 - All data'!C122)+SUMIFS('3 - glass surface'!AA:AA,'3 - glass surface'!C:C,'5 - All data'!B122,'3 - glass surface'!D:D,'5 - All data'!D122,'3 - glass surface'!E:E,'5 - All data'!C122)</f>
        <v>7</v>
      </c>
      <c r="G122" s="33">
        <f t="shared" si="17"/>
        <v>10</v>
      </c>
      <c r="H122" s="117">
        <f t="shared" si="14"/>
        <v>0.3</v>
      </c>
    </row>
    <row r="123" spans="1:8" x14ac:dyDescent="0.2">
      <c r="A123" s="33" t="s">
        <v>276</v>
      </c>
      <c r="B123" s="46">
        <v>48</v>
      </c>
      <c r="C123" s="33" t="s">
        <v>173</v>
      </c>
      <c r="D123" s="33">
        <v>1</v>
      </c>
      <c r="E123" s="33">
        <f>SUMIFS('3 - glass surface'!X:X,'3 - glass surface'!C:C,'5 - All data'!B123,'3 - glass surface'!D:D,'5 - All data'!D123,'3 - glass surface'!E:E,'5 - All data'!C123)+SUMIFS('3 - glass surface'!Y:Y,'3 - glass surface'!C:C,'5 - All data'!B123,'3 - glass surface'!D:D,'5 - All data'!D123,'3 - glass surface'!E:E,'5 - All data'!C123)</f>
        <v>6</v>
      </c>
      <c r="F123" s="33">
        <f>SUMIFS('3 - glass surface'!Z:Z,'3 - glass surface'!C:C,'5 - All data'!B123,'3 - glass surface'!D:D,'5 - All data'!D123,'3 - glass surface'!E:E,'5 - All data'!C123)+SUMIFS('3 - glass surface'!AA:AA,'3 - glass surface'!C:C,'5 - All data'!B123,'3 - glass surface'!D:D,'5 - All data'!D123,'3 - glass surface'!E:E,'5 - All data'!C123)</f>
        <v>4</v>
      </c>
      <c r="G123" s="33">
        <f t="shared" si="17"/>
        <v>10</v>
      </c>
      <c r="H123" s="117">
        <f t="shared" si="14"/>
        <v>0.6</v>
      </c>
    </row>
    <row r="124" spans="1:8" x14ac:dyDescent="0.2">
      <c r="A124" s="33" t="s">
        <v>276</v>
      </c>
      <c r="B124" s="46">
        <v>48</v>
      </c>
      <c r="C124" s="33" t="s">
        <v>207</v>
      </c>
      <c r="D124" s="33">
        <v>1</v>
      </c>
      <c r="E124" s="33">
        <f>SUMIFS('3 - glass surface'!X:X,'3 - glass surface'!C:C,'5 - All data'!B124,'3 - glass surface'!D:D,'5 - All data'!D124,'3 - glass surface'!E:E,'5 - All data'!C124)+SUMIFS('3 - glass surface'!Y:Y,'3 - glass surface'!C:C,'5 - All data'!B124,'3 - glass surface'!D:D,'5 - All data'!D124,'3 - glass surface'!E:E,'5 - All data'!C124)</f>
        <v>0</v>
      </c>
      <c r="F124" s="33">
        <f>SUMIFS('3 - glass surface'!Z:Z,'3 - glass surface'!C:C,'5 - All data'!B124,'3 - glass surface'!D:D,'5 - All data'!D124,'3 - glass surface'!E:E,'5 - All data'!C124)+SUMIFS('3 - glass surface'!AA:AA,'3 - glass surface'!C:C,'5 - All data'!B124,'3 - glass surface'!D:D,'5 - All data'!D124,'3 - glass surface'!E:E,'5 - All data'!C124)</f>
        <v>21</v>
      </c>
      <c r="G124" s="33">
        <f t="shared" si="17"/>
        <v>21</v>
      </c>
      <c r="H124" s="117">
        <f t="shared" si="14"/>
        <v>0</v>
      </c>
    </row>
    <row r="125" spans="1:8" x14ac:dyDescent="0.2">
      <c r="A125" s="33" t="s">
        <v>276</v>
      </c>
      <c r="B125" s="46">
        <v>48</v>
      </c>
      <c r="C125" s="33" t="s">
        <v>208</v>
      </c>
      <c r="D125" s="33">
        <v>1</v>
      </c>
      <c r="E125" s="33">
        <f>SUMIFS('3 - glass surface'!X:X,'3 - glass surface'!C:C,'5 - All data'!B125,'3 - glass surface'!D:D,'5 - All data'!D125,'3 - glass surface'!E:E,'5 - All data'!C125)+SUMIFS('3 - glass surface'!Y:Y,'3 - glass surface'!C:C,'5 - All data'!B125,'3 - glass surface'!D:D,'5 - All data'!D125,'3 - glass surface'!E:E,'5 - All data'!C125)</f>
        <v>0</v>
      </c>
      <c r="F125" s="33">
        <f>SUMIFS('3 - glass surface'!Z:Z,'3 - glass surface'!C:C,'5 - All data'!B125,'3 - glass surface'!D:D,'5 - All data'!D125,'3 - glass surface'!E:E,'5 - All data'!C125)+SUMIFS('3 - glass surface'!AA:AA,'3 - glass surface'!C:C,'5 - All data'!B125,'3 - glass surface'!D:D,'5 - All data'!D125,'3 - glass surface'!E:E,'5 - All data'!C125)</f>
        <v>17</v>
      </c>
      <c r="G125" s="33">
        <f t="shared" si="17"/>
        <v>17</v>
      </c>
      <c r="H125" s="117">
        <f t="shared" si="14"/>
        <v>0</v>
      </c>
    </row>
    <row r="126" spans="1:8" x14ac:dyDescent="0.2">
      <c r="A126" s="33" t="s">
        <v>276</v>
      </c>
      <c r="B126" s="46">
        <v>48</v>
      </c>
      <c r="C126" s="33" t="s">
        <v>209</v>
      </c>
      <c r="D126" s="33">
        <v>1</v>
      </c>
      <c r="E126" s="33">
        <f>SUMIFS('3 - glass surface'!X:X,'3 - glass surface'!C:C,'5 - All data'!B126,'3 - glass surface'!D:D,'5 - All data'!D126,'3 - glass surface'!E:E,'5 - All data'!C126)+SUMIFS('3 - glass surface'!Y:Y,'3 - glass surface'!C:C,'5 - All data'!B126,'3 - glass surface'!D:D,'5 - All data'!D126,'3 - glass surface'!E:E,'5 - All data'!C126)</f>
        <v>0</v>
      </c>
      <c r="F126" s="33">
        <f>SUMIFS('3 - glass surface'!Z:Z,'3 - glass surface'!C:C,'5 - All data'!B126,'3 - glass surface'!D:D,'5 - All data'!D126,'3 - glass surface'!E:E,'5 - All data'!C126)+SUMIFS('3 - glass surface'!AA:AA,'3 - glass surface'!C:C,'5 - All data'!B126,'3 - glass surface'!D:D,'5 - All data'!D126,'3 - glass surface'!E:E,'5 - All data'!C126)</f>
        <v>20</v>
      </c>
      <c r="G126" s="33">
        <f t="shared" si="17"/>
        <v>20</v>
      </c>
      <c r="H126" s="117">
        <f t="shared" si="14"/>
        <v>0</v>
      </c>
    </row>
    <row r="127" spans="1:8" x14ac:dyDescent="0.2">
      <c r="A127" s="33" t="s">
        <v>276</v>
      </c>
      <c r="B127" s="46">
        <v>48</v>
      </c>
      <c r="C127" s="33" t="s">
        <v>223</v>
      </c>
      <c r="D127" s="33">
        <v>1</v>
      </c>
      <c r="E127" s="33">
        <f>SUMIFS('3 - glass surface'!X:X,'3 - glass surface'!C:C,'5 - All data'!B127,'3 - glass surface'!D:D,'5 - All data'!D127,'3 - glass surface'!E:E,'5 - All data'!C127)+SUMIFS('3 - glass surface'!Y:Y,'3 - glass surface'!C:C,'5 - All data'!B127,'3 - glass surface'!D:D,'5 - All data'!D127,'3 - glass surface'!E:E,'5 - All data'!C127)</f>
        <v>2</v>
      </c>
      <c r="F127" s="33">
        <f>SUMIFS('3 - glass surface'!Z:Z,'3 - glass surface'!C:C,'5 - All data'!B127,'3 - glass surface'!D:D,'5 - All data'!D127,'3 - glass surface'!E:E,'5 - All data'!C127)+SUMIFS('3 - glass surface'!AA:AA,'3 - glass surface'!C:C,'5 - All data'!B127,'3 - glass surface'!D:D,'5 - All data'!D127,'3 - glass surface'!E:E,'5 - All data'!C127)</f>
        <v>17</v>
      </c>
      <c r="G127" s="33">
        <f t="shared" si="17"/>
        <v>19</v>
      </c>
      <c r="H127" s="117">
        <f t="shared" si="14"/>
        <v>0.10526315789473684</v>
      </c>
    </row>
    <row r="128" spans="1:8" x14ac:dyDescent="0.2">
      <c r="A128" s="33" t="s">
        <v>276</v>
      </c>
      <c r="B128" s="46">
        <v>48</v>
      </c>
      <c r="C128" s="33" t="s">
        <v>224</v>
      </c>
      <c r="D128" s="33">
        <v>1</v>
      </c>
      <c r="E128" s="33">
        <f>SUMIFS('3 - glass surface'!X:X,'3 - glass surface'!C:C,'5 - All data'!B128,'3 - glass surface'!D:D,'5 - All data'!D128,'3 - glass surface'!E:E,'5 - All data'!C128)+SUMIFS('3 - glass surface'!Y:Y,'3 - glass surface'!C:C,'5 - All data'!B128,'3 - glass surface'!D:D,'5 - All data'!D128,'3 - glass surface'!E:E,'5 - All data'!C128)</f>
        <v>3</v>
      </c>
      <c r="F128" s="33">
        <f>SUMIFS('3 - glass surface'!Z:Z,'3 - glass surface'!C:C,'5 - All data'!B128,'3 - glass surface'!D:D,'5 - All data'!D128,'3 - glass surface'!E:E,'5 - All data'!C128)+SUMIFS('3 - glass surface'!AA:AA,'3 - glass surface'!C:C,'5 - All data'!B128,'3 - glass surface'!D:D,'5 - All data'!D128,'3 - glass surface'!E:E,'5 - All data'!C128)</f>
        <v>16</v>
      </c>
      <c r="G128" s="33">
        <f t="shared" si="17"/>
        <v>19</v>
      </c>
      <c r="H128" s="117">
        <f t="shared" si="14"/>
        <v>0.15789473684210525</v>
      </c>
    </row>
    <row r="129" spans="1:8" x14ac:dyDescent="0.2">
      <c r="A129" s="33" t="s">
        <v>276</v>
      </c>
      <c r="B129" s="46">
        <v>48</v>
      </c>
      <c r="C129" s="33" t="s">
        <v>225</v>
      </c>
      <c r="D129" s="33">
        <v>1</v>
      </c>
      <c r="E129" s="33">
        <f>SUMIFS('3 - glass surface'!X:X,'3 - glass surface'!C:C,'5 - All data'!B129,'3 - glass surface'!D:D,'5 - All data'!D129,'3 - glass surface'!E:E,'5 - All data'!C129)+SUMIFS('3 - glass surface'!Y:Y,'3 - glass surface'!C:C,'5 - All data'!B129,'3 - glass surface'!D:D,'5 - All data'!D129,'3 - glass surface'!E:E,'5 - All data'!C129)</f>
        <v>2</v>
      </c>
      <c r="F129" s="33">
        <f>SUMIFS('3 - glass surface'!Z:Z,'3 - glass surface'!C:C,'5 - All data'!B129,'3 - glass surface'!D:D,'5 - All data'!D129,'3 - glass surface'!E:E,'5 - All data'!C129)+SUMIFS('3 - glass surface'!AA:AA,'3 - glass surface'!C:C,'5 - All data'!B129,'3 - glass surface'!D:D,'5 - All data'!D129,'3 - glass surface'!E:E,'5 - All data'!C129)</f>
        <v>20</v>
      </c>
      <c r="G129" s="33">
        <f t="shared" si="17"/>
        <v>22</v>
      </c>
      <c r="H129" s="117">
        <f t="shared" si="14"/>
        <v>9.0909090909090912E-2</v>
      </c>
    </row>
    <row r="130" spans="1:8" x14ac:dyDescent="0.2">
      <c r="A130" s="33" t="s">
        <v>276</v>
      </c>
      <c r="B130" s="46">
        <v>48</v>
      </c>
      <c r="C130" s="33" t="s">
        <v>226</v>
      </c>
      <c r="D130" s="33">
        <v>1</v>
      </c>
      <c r="E130" s="33">
        <f>SUMIFS('3 - glass surface'!X:X,'3 - glass surface'!C:C,'5 - All data'!B130,'3 - glass surface'!D:D,'5 - All data'!D130,'3 - glass surface'!E:E,'5 - All data'!C130)+SUMIFS('3 - glass surface'!Y:Y,'3 - glass surface'!C:C,'5 - All data'!B130,'3 - glass surface'!D:D,'5 - All data'!D130,'3 - glass surface'!E:E,'5 - All data'!C130)</f>
        <v>3</v>
      </c>
      <c r="F130" s="33">
        <f>SUMIFS('3 - glass surface'!Z:Z,'3 - glass surface'!C:C,'5 - All data'!B130,'3 - glass surface'!D:D,'5 - All data'!D130,'3 - glass surface'!E:E,'5 - All data'!C130)+SUMIFS('3 - glass surface'!AA:AA,'3 - glass surface'!C:C,'5 - All data'!B130,'3 - glass surface'!D:D,'5 - All data'!D130,'3 - glass surface'!E:E,'5 - All data'!C130)</f>
        <v>19</v>
      </c>
      <c r="G130" s="33">
        <f t="shared" ref="G130:G150" si="18">SUM(E130:F130)</f>
        <v>22</v>
      </c>
      <c r="H130" s="117">
        <f t="shared" si="14"/>
        <v>0.13636363636363635</v>
      </c>
    </row>
    <row r="131" spans="1:8" x14ac:dyDescent="0.2">
      <c r="A131" s="33" t="s">
        <v>276</v>
      </c>
      <c r="B131" s="46">
        <v>336</v>
      </c>
      <c r="C131" s="33" t="s">
        <v>204</v>
      </c>
      <c r="D131" s="33">
        <v>1</v>
      </c>
      <c r="E131" s="33">
        <f>SUMIFS('3 - glass surface'!X:X,'3 - glass surface'!C:C,'5 - All data'!B131,'3 - glass surface'!D:D,'5 - All data'!D131,'3 - glass surface'!E:E,'5 - All data'!C131)+SUMIFS('3 - glass surface'!Y:Y,'3 - glass surface'!C:C,'5 - All data'!B131,'3 - glass surface'!D:D,'5 - All data'!D131,'3 - glass surface'!E:E,'5 - All data'!C131)</f>
        <v>0</v>
      </c>
      <c r="F131" s="33">
        <f>SUMIFS('3 - glass surface'!Z:Z,'3 - glass surface'!C:C,'5 - All data'!B131,'3 - glass surface'!D:D,'5 - All data'!D131,'3 - glass surface'!E:E,'5 - All data'!C131)+SUMIFS('3 - glass surface'!AA:AA,'3 - glass surface'!C:C,'5 - All data'!B131,'3 - glass surface'!D:D,'5 - All data'!D131,'3 - glass surface'!E:E,'5 - All data'!C131)</f>
        <v>17</v>
      </c>
      <c r="G131" s="33">
        <f t="shared" si="18"/>
        <v>17</v>
      </c>
      <c r="H131" s="117">
        <f t="shared" si="14"/>
        <v>0</v>
      </c>
    </row>
    <row r="132" spans="1:8" x14ac:dyDescent="0.2">
      <c r="A132" s="33" t="s">
        <v>276</v>
      </c>
      <c r="B132" s="46">
        <v>336</v>
      </c>
      <c r="C132" s="33" t="s">
        <v>205</v>
      </c>
      <c r="D132" s="33">
        <v>1</v>
      </c>
      <c r="E132" s="33">
        <f>SUMIFS('3 - glass surface'!X:X,'3 - glass surface'!C:C,'5 - All data'!B132,'3 - glass surface'!D:D,'5 - All data'!D132,'3 - glass surface'!E:E,'5 - All data'!C132)+SUMIFS('3 - glass surface'!Y:Y,'3 - glass surface'!C:C,'5 - All data'!B132,'3 - glass surface'!D:D,'5 - All data'!D132,'3 - glass surface'!E:E,'5 - All data'!C132)</f>
        <v>0</v>
      </c>
      <c r="F132" s="33">
        <f>SUMIFS('3 - glass surface'!Z:Z,'3 - glass surface'!C:C,'5 - All data'!B132,'3 - glass surface'!D:D,'5 - All data'!D132,'3 - glass surface'!E:E,'5 - All data'!C132)+SUMIFS('3 - glass surface'!AA:AA,'3 - glass surface'!C:C,'5 - All data'!B132,'3 - glass surface'!D:D,'5 - All data'!D132,'3 - glass surface'!E:E,'5 - All data'!C132)</f>
        <v>18</v>
      </c>
      <c r="G132" s="33">
        <f t="shared" si="18"/>
        <v>18</v>
      </c>
      <c r="H132" s="117">
        <f t="shared" si="14"/>
        <v>0</v>
      </c>
    </row>
    <row r="133" spans="1:8" x14ac:dyDescent="0.2">
      <c r="A133" s="33" t="s">
        <v>276</v>
      </c>
      <c r="B133" s="46">
        <v>336</v>
      </c>
      <c r="C133" s="33" t="s">
        <v>206</v>
      </c>
      <c r="D133" s="33">
        <v>1</v>
      </c>
      <c r="E133" s="33">
        <f>SUMIFS('3 - glass surface'!X:X,'3 - glass surface'!C:C,'5 - All data'!B133,'3 - glass surface'!D:D,'5 - All data'!D133,'3 - glass surface'!E:E,'5 - All data'!C133)+SUMIFS('3 - glass surface'!Y:Y,'3 - glass surface'!C:C,'5 - All data'!B133,'3 - glass surface'!D:D,'5 - All data'!D133,'3 - glass surface'!E:E,'5 - All data'!C133)</f>
        <v>0</v>
      </c>
      <c r="F133" s="33">
        <f>SUMIFS('3 - glass surface'!Z:Z,'3 - glass surface'!C:C,'5 - All data'!B133,'3 - glass surface'!D:D,'5 - All data'!D133,'3 - glass surface'!E:E,'5 - All data'!C133)+SUMIFS('3 - glass surface'!AA:AA,'3 - glass surface'!C:C,'5 - All data'!B133,'3 - glass surface'!D:D,'5 - All data'!D133,'3 - glass surface'!E:E,'5 - All data'!C133)</f>
        <v>18</v>
      </c>
      <c r="G133" s="33">
        <f t="shared" si="18"/>
        <v>18</v>
      </c>
      <c r="H133" s="117">
        <f t="shared" si="14"/>
        <v>0</v>
      </c>
    </row>
    <row r="134" spans="1:8" x14ac:dyDescent="0.2">
      <c r="A134" s="33" t="s">
        <v>276</v>
      </c>
      <c r="B134" s="46">
        <v>2</v>
      </c>
      <c r="C134" s="33" t="s">
        <v>177</v>
      </c>
      <c r="D134" s="33">
        <v>10</v>
      </c>
      <c r="E134" s="33">
        <f>SUMIFS('3 - glass surface'!X:X,'3 - glass surface'!C:C,'5 - All data'!B134,'3 - glass surface'!D:D,'5 - All data'!D134,'3 - glass surface'!E:E,'5 - All data'!C134)+SUMIFS('3 - glass surface'!Y:Y,'3 - glass surface'!C:C,'5 - All data'!B134,'3 - glass surface'!D:D,'5 - All data'!D134,'3 - glass surface'!E:E,'5 - All data'!C134)</f>
        <v>7</v>
      </c>
      <c r="F134" s="33">
        <f>SUMIFS('3 - glass surface'!Z:Z,'3 - glass surface'!C:C,'5 - All data'!B134,'3 - glass surface'!D:D,'5 - All data'!D134,'3 - glass surface'!E:E,'5 - All data'!C134)+SUMIFS('3 - glass surface'!AA:AA,'3 - glass surface'!C:C,'5 - All data'!B134,'3 - glass surface'!D:D,'5 - All data'!D134,'3 - glass surface'!E:E,'5 - All data'!C134)</f>
        <v>0</v>
      </c>
      <c r="G134" s="33">
        <f t="shared" si="18"/>
        <v>7</v>
      </c>
      <c r="H134" s="117">
        <f t="shared" si="14"/>
        <v>1</v>
      </c>
    </row>
    <row r="135" spans="1:8" x14ac:dyDescent="0.2">
      <c r="A135" s="33" t="s">
        <v>276</v>
      </c>
      <c r="B135" s="46">
        <v>2</v>
      </c>
      <c r="C135" s="33" t="s">
        <v>178</v>
      </c>
      <c r="D135" s="33">
        <v>10</v>
      </c>
      <c r="E135" s="33">
        <f>SUMIFS('3 - glass surface'!X:X,'3 - glass surface'!C:C,'5 - All data'!B135,'3 - glass surface'!D:D,'5 - All data'!D135,'3 - glass surface'!E:E,'5 - All data'!C135)+SUMIFS('3 - glass surface'!Y:Y,'3 - glass surface'!C:C,'5 - All data'!B135,'3 - glass surface'!D:D,'5 - All data'!D135,'3 - glass surface'!E:E,'5 - All data'!C135)</f>
        <v>7</v>
      </c>
      <c r="F135" s="33">
        <f>SUMIFS('3 - glass surface'!Z:Z,'3 - glass surface'!C:C,'5 - All data'!B135,'3 - glass surface'!D:D,'5 - All data'!D135,'3 - glass surface'!E:E,'5 - All data'!C135)+SUMIFS('3 - glass surface'!AA:AA,'3 - glass surface'!C:C,'5 - All data'!B135,'3 - glass surface'!D:D,'5 - All data'!D135,'3 - glass surface'!E:E,'5 - All data'!C135)</f>
        <v>2</v>
      </c>
      <c r="G135" s="33">
        <f t="shared" si="18"/>
        <v>9</v>
      </c>
      <c r="H135" s="117">
        <f t="shared" si="14"/>
        <v>0.77777777777777779</v>
      </c>
    </row>
    <row r="136" spans="1:8" x14ac:dyDescent="0.2">
      <c r="A136" s="33" t="s">
        <v>276</v>
      </c>
      <c r="B136" s="46">
        <v>2</v>
      </c>
      <c r="C136" s="33" t="s">
        <v>179</v>
      </c>
      <c r="D136" s="33">
        <v>10</v>
      </c>
      <c r="E136" s="33">
        <f>SUMIFS('3 - glass surface'!X:X,'3 - glass surface'!C:C,'5 - All data'!B136,'3 - glass surface'!D:D,'5 - All data'!D136,'3 - glass surface'!E:E,'5 - All data'!C136)+SUMIFS('3 - glass surface'!Y:Y,'3 - glass surface'!C:C,'5 - All data'!B136,'3 - glass surface'!D:D,'5 - All data'!D136,'3 - glass surface'!E:E,'5 - All data'!C136)</f>
        <v>6</v>
      </c>
      <c r="F136" s="33">
        <f>SUMIFS('3 - glass surface'!Z:Z,'3 - glass surface'!C:C,'5 - All data'!B136,'3 - glass surface'!D:D,'5 - All data'!D136,'3 - glass surface'!E:E,'5 - All data'!C136)+SUMIFS('3 - glass surface'!AA:AA,'3 - glass surface'!C:C,'5 - All data'!B136,'3 - glass surface'!D:D,'5 - All data'!D136,'3 - glass surface'!E:E,'5 - All data'!C136)</f>
        <v>2</v>
      </c>
      <c r="G136" s="33">
        <f t="shared" si="18"/>
        <v>8</v>
      </c>
      <c r="H136" s="117">
        <f t="shared" si="14"/>
        <v>0.75</v>
      </c>
    </row>
    <row r="137" spans="1:8" x14ac:dyDescent="0.2">
      <c r="A137" s="33" t="s">
        <v>276</v>
      </c>
      <c r="B137" s="46">
        <v>2</v>
      </c>
      <c r="C137" s="33" t="s">
        <v>180</v>
      </c>
      <c r="D137" s="33">
        <v>10</v>
      </c>
      <c r="E137" s="33">
        <f>SUMIFS('3 - glass surface'!X:X,'3 - glass surface'!C:C,'5 - All data'!B137,'3 - glass surface'!D:D,'5 - All data'!D137,'3 - glass surface'!E:E,'5 - All data'!C137)+SUMIFS('3 - glass surface'!Y:Y,'3 - glass surface'!C:C,'5 - All data'!B137,'3 - glass surface'!D:D,'5 - All data'!D137,'3 - glass surface'!E:E,'5 - All data'!C137)</f>
        <v>9</v>
      </c>
      <c r="F137" s="33">
        <f>SUMIFS('3 - glass surface'!Z:Z,'3 - glass surface'!C:C,'5 - All data'!B137,'3 - glass surface'!D:D,'5 - All data'!D137,'3 - glass surface'!E:E,'5 - All data'!C137)+SUMIFS('3 - glass surface'!AA:AA,'3 - glass surface'!C:C,'5 - All data'!B137,'3 - glass surface'!D:D,'5 - All data'!D137,'3 - glass surface'!E:E,'5 - All data'!C137)</f>
        <v>3</v>
      </c>
      <c r="G137" s="33">
        <f t="shared" si="18"/>
        <v>12</v>
      </c>
      <c r="H137" s="117">
        <f t="shared" si="14"/>
        <v>0.75</v>
      </c>
    </row>
    <row r="138" spans="1:8" x14ac:dyDescent="0.2">
      <c r="A138" s="33" t="s">
        <v>276</v>
      </c>
      <c r="B138" s="46">
        <v>2</v>
      </c>
      <c r="C138" s="85" t="s">
        <v>181</v>
      </c>
      <c r="D138" s="33">
        <v>10</v>
      </c>
      <c r="E138" s="33">
        <f>SUMIFS('3 - glass surface'!X:X,'3 - glass surface'!C:C,'5 - All data'!B138,'3 - glass surface'!D:D,'5 - All data'!D138,'3 - glass surface'!E:E,'5 - All data'!C138)+SUMIFS('3 - glass surface'!Y:Y,'3 - glass surface'!C:C,'5 - All data'!B138,'3 - glass surface'!D:D,'5 - All data'!D138,'3 - glass surface'!E:E,'5 - All data'!C138)</f>
        <v>10</v>
      </c>
      <c r="F138" s="33">
        <f>SUMIFS('3 - glass surface'!Z:Z,'3 - glass surface'!C:C,'5 - All data'!B138,'3 - glass surface'!D:D,'5 - All data'!D138,'3 - glass surface'!E:E,'5 - All data'!C138)+SUMIFS('3 - glass surface'!AA:AA,'3 - glass surface'!C:C,'5 - All data'!B138,'3 - glass surface'!D:D,'5 - All data'!D138,'3 - glass surface'!E:E,'5 - All data'!C138)</f>
        <v>6</v>
      </c>
      <c r="G138" s="33">
        <f t="shared" si="18"/>
        <v>16</v>
      </c>
      <c r="H138" s="117">
        <f t="shared" si="14"/>
        <v>0.625</v>
      </c>
    </row>
    <row r="139" spans="1:8" x14ac:dyDescent="0.2">
      <c r="A139" s="33" t="s">
        <v>276</v>
      </c>
      <c r="B139" s="46">
        <v>2</v>
      </c>
      <c r="C139" s="85" t="s">
        <v>217</v>
      </c>
      <c r="D139" s="33">
        <v>10</v>
      </c>
      <c r="E139" s="33">
        <f>SUMIFS('3 - glass surface'!X:X,'3 - glass surface'!C:C,'5 - All data'!B139,'3 - glass surface'!D:D,'5 - All data'!D139,'3 - glass surface'!E:E,'5 - All data'!C139)+SUMIFS('3 - glass surface'!Y:Y,'3 - glass surface'!C:C,'5 - All data'!B139,'3 - glass surface'!D:D,'5 - All data'!D139,'3 - glass surface'!E:E,'5 - All data'!C139)</f>
        <v>16</v>
      </c>
      <c r="F139" s="33">
        <f>SUMIFS('3 - glass surface'!Z:Z,'3 - glass surface'!C:C,'5 - All data'!B139,'3 - glass surface'!D:D,'5 - All data'!D139,'3 - glass surface'!E:E,'5 - All data'!C139)+SUMIFS('3 - glass surface'!AA:AA,'3 - glass surface'!C:C,'5 - All data'!B139,'3 - glass surface'!D:D,'5 - All data'!D139,'3 - glass surface'!E:E,'5 - All data'!C139)</f>
        <v>5</v>
      </c>
      <c r="G139" s="33">
        <f t="shared" si="18"/>
        <v>21</v>
      </c>
      <c r="H139" s="117">
        <f t="shared" si="14"/>
        <v>0.76190476190476186</v>
      </c>
    </row>
    <row r="140" spans="1:8" x14ac:dyDescent="0.2">
      <c r="A140" s="33" t="s">
        <v>276</v>
      </c>
      <c r="B140" s="46">
        <v>24</v>
      </c>
      <c r="C140" s="85" t="s">
        <v>156</v>
      </c>
      <c r="D140" s="33">
        <v>10</v>
      </c>
      <c r="E140" s="33">
        <f>SUMIFS('3 - glass surface'!X:X,'3 - glass surface'!C:C,'5 - All data'!B140,'3 - glass surface'!D:D,'5 - All data'!D140,'3 - glass surface'!E:E,'5 - All data'!C140)+SUMIFS('3 - glass surface'!Y:Y,'3 - glass surface'!C:C,'5 - All data'!B140,'3 - glass surface'!D:D,'5 - All data'!D140,'3 - glass surface'!E:E,'5 - All data'!C140)</f>
        <v>4</v>
      </c>
      <c r="F140" s="33">
        <f>SUMIFS('3 - glass surface'!Z:Z,'3 - glass surface'!C:C,'5 - All data'!B140,'3 - glass surface'!D:D,'5 - All data'!D140,'3 - glass surface'!E:E,'5 - All data'!C140)+SUMIFS('3 - glass surface'!AA:AA,'3 - glass surface'!C:C,'5 - All data'!B140,'3 - glass surface'!D:D,'5 - All data'!D140,'3 - glass surface'!E:E,'5 - All data'!C140)</f>
        <v>5</v>
      </c>
      <c r="G140" s="33">
        <f t="shared" si="18"/>
        <v>9</v>
      </c>
      <c r="H140" s="117">
        <f t="shared" si="14"/>
        <v>0.44444444444444442</v>
      </c>
    </row>
    <row r="141" spans="1:8" x14ac:dyDescent="0.2">
      <c r="A141" s="33" t="s">
        <v>276</v>
      </c>
      <c r="B141" s="46">
        <v>24</v>
      </c>
      <c r="C141" s="85" t="s">
        <v>157</v>
      </c>
      <c r="D141" s="33">
        <v>10</v>
      </c>
      <c r="E141" s="33">
        <f>SUMIFS('3 - glass surface'!X:X,'3 - glass surface'!C:C,'5 - All data'!B141,'3 - glass surface'!D:D,'5 - All data'!D141,'3 - glass surface'!E:E,'5 - All data'!C141)+SUMIFS('3 - glass surface'!Y:Y,'3 - glass surface'!C:C,'5 - All data'!B141,'3 - glass surface'!D:D,'5 - All data'!D141,'3 - glass surface'!E:E,'5 - All data'!C141)</f>
        <v>5</v>
      </c>
      <c r="F141" s="33">
        <f>SUMIFS('3 - glass surface'!Z:Z,'3 - glass surface'!C:C,'5 - All data'!B141,'3 - glass surface'!D:D,'5 - All data'!D141,'3 - glass surface'!E:E,'5 - All data'!C141)+SUMIFS('3 - glass surface'!AA:AA,'3 - glass surface'!C:C,'5 - All data'!B141,'3 - glass surface'!D:D,'5 - All data'!D141,'3 - glass surface'!E:E,'5 - All data'!C141)</f>
        <v>3</v>
      </c>
      <c r="G141" s="33">
        <f t="shared" si="18"/>
        <v>8</v>
      </c>
      <c r="H141" s="117">
        <f t="shared" si="14"/>
        <v>0.625</v>
      </c>
    </row>
    <row r="142" spans="1:8" x14ac:dyDescent="0.2">
      <c r="A142" s="33" t="s">
        <v>276</v>
      </c>
      <c r="B142" s="46">
        <v>24</v>
      </c>
      <c r="C142" s="85" t="s">
        <v>158</v>
      </c>
      <c r="D142" s="33">
        <v>10</v>
      </c>
      <c r="E142" s="33">
        <f>SUMIFS('3 - glass surface'!X:X,'3 - glass surface'!C:C,'5 - All data'!B142,'3 - glass surface'!D:D,'5 - All data'!D142,'3 - glass surface'!E:E,'5 - All data'!C142)+SUMIFS('3 - glass surface'!Y:Y,'3 - glass surface'!C:C,'5 - All data'!B142,'3 - glass surface'!D:D,'5 - All data'!D142,'3 - glass surface'!E:E,'5 - All data'!C142)</f>
        <v>5</v>
      </c>
      <c r="F142" s="33">
        <f>SUMIFS('3 - glass surface'!Z:Z,'3 - glass surface'!C:C,'5 - All data'!B142,'3 - glass surface'!D:D,'5 - All data'!D142,'3 - glass surface'!E:E,'5 - All data'!C142)+SUMIFS('3 - glass surface'!AA:AA,'3 - glass surface'!C:C,'5 - All data'!B142,'3 - glass surface'!D:D,'5 - All data'!D142,'3 - glass surface'!E:E,'5 - All data'!C142)</f>
        <v>4</v>
      </c>
      <c r="G142" s="33">
        <f t="shared" si="18"/>
        <v>9</v>
      </c>
      <c r="H142" s="117">
        <f t="shared" ref="H142:H152" si="19">E142/G142</f>
        <v>0.55555555555555558</v>
      </c>
    </row>
    <row r="143" spans="1:8" x14ac:dyDescent="0.2">
      <c r="A143" s="33" t="s">
        <v>276</v>
      </c>
      <c r="B143" s="46">
        <v>24</v>
      </c>
      <c r="C143" s="85" t="s">
        <v>182</v>
      </c>
      <c r="D143" s="33">
        <v>10</v>
      </c>
      <c r="E143" s="33">
        <f>SUMIFS('3 - glass surface'!X:X,'3 - glass surface'!C:C,'5 - All data'!B143,'3 - glass surface'!D:D,'5 - All data'!D143,'3 - glass surface'!E:E,'5 - All data'!C143)+SUMIFS('3 - glass surface'!Y:Y,'3 - glass surface'!C:C,'5 - All data'!B143,'3 - glass surface'!D:D,'5 - All data'!D143,'3 - glass surface'!E:E,'5 - All data'!C143)</f>
        <v>5</v>
      </c>
      <c r="F143" s="33">
        <f>SUMIFS('3 - glass surface'!Z:Z,'3 - glass surface'!C:C,'5 - All data'!B143,'3 - glass surface'!D:D,'5 - All data'!D143,'3 - glass surface'!E:E,'5 - All data'!C143)+SUMIFS('3 - glass surface'!AA:AA,'3 - glass surface'!C:C,'5 - All data'!B143,'3 - glass surface'!D:D,'5 - All data'!D143,'3 - glass surface'!E:E,'5 - All data'!C143)</f>
        <v>3</v>
      </c>
      <c r="G143" s="33">
        <f t="shared" si="18"/>
        <v>8</v>
      </c>
      <c r="H143" s="117">
        <f t="shared" si="19"/>
        <v>0.625</v>
      </c>
    </row>
    <row r="144" spans="1:8" x14ac:dyDescent="0.2">
      <c r="A144" s="33" t="s">
        <v>276</v>
      </c>
      <c r="B144" s="46">
        <v>24</v>
      </c>
      <c r="C144" s="85" t="s">
        <v>183</v>
      </c>
      <c r="D144" s="33">
        <v>10</v>
      </c>
      <c r="E144" s="33">
        <f>SUMIFS('3 - glass surface'!X:X,'3 - glass surface'!C:C,'5 - All data'!B144,'3 - glass surface'!D:D,'5 - All data'!D144,'3 - glass surface'!E:E,'5 - All data'!C144)+SUMIFS('3 - glass surface'!Y:Y,'3 - glass surface'!C:C,'5 - All data'!B144,'3 - glass surface'!D:D,'5 - All data'!D144,'3 - glass surface'!E:E,'5 - All data'!C144)</f>
        <v>1</v>
      </c>
      <c r="F144" s="33">
        <f>SUMIFS('3 - glass surface'!Z:Z,'3 - glass surface'!C:C,'5 - All data'!B144,'3 - glass surface'!D:D,'5 - All data'!D144,'3 - glass surface'!E:E,'5 - All data'!C144)+SUMIFS('3 - glass surface'!AA:AA,'3 - glass surface'!C:C,'5 - All data'!B144,'3 - glass surface'!D:D,'5 - All data'!D144,'3 - glass surface'!E:E,'5 - All data'!C144)</f>
        <v>8</v>
      </c>
      <c r="G144" s="33">
        <f t="shared" si="18"/>
        <v>9</v>
      </c>
      <c r="H144" s="117">
        <f t="shared" si="19"/>
        <v>0.1111111111111111</v>
      </c>
    </row>
    <row r="145" spans="1:8" x14ac:dyDescent="0.2">
      <c r="A145" s="33" t="s">
        <v>276</v>
      </c>
      <c r="B145" s="46">
        <v>24</v>
      </c>
      <c r="C145" s="85" t="s">
        <v>220</v>
      </c>
      <c r="D145" s="33">
        <v>10</v>
      </c>
      <c r="E145" s="33">
        <f>SUMIFS('3 - glass surface'!X:X,'3 - glass surface'!C:C,'5 - All data'!B145,'3 - glass surface'!D:D,'5 - All data'!D145,'3 - glass surface'!E:E,'5 - All data'!C145)+SUMIFS('3 - glass surface'!Y:Y,'3 - glass surface'!C:C,'5 - All data'!B145,'3 - glass surface'!D:D,'5 - All data'!D145,'3 - glass surface'!E:E,'5 - All data'!C145)</f>
        <v>0</v>
      </c>
      <c r="F145" s="33">
        <f>SUMIFS('3 - glass surface'!Z:Z,'3 - glass surface'!C:C,'5 - All data'!B145,'3 - glass surface'!D:D,'5 - All data'!D145,'3 - glass surface'!E:E,'5 - All data'!C145)+SUMIFS('3 - glass surface'!AA:AA,'3 - glass surface'!C:C,'5 - All data'!B145,'3 - glass surface'!D:D,'5 - All data'!D145,'3 - glass surface'!E:E,'5 - All data'!C145)</f>
        <v>19</v>
      </c>
      <c r="G145" s="33">
        <f t="shared" si="18"/>
        <v>19</v>
      </c>
      <c r="H145" s="117">
        <f t="shared" si="19"/>
        <v>0</v>
      </c>
    </row>
    <row r="146" spans="1:8" x14ac:dyDescent="0.2">
      <c r="A146" s="33" t="s">
        <v>276</v>
      </c>
      <c r="B146" s="46">
        <v>48</v>
      </c>
      <c r="C146" s="33" t="s">
        <v>174</v>
      </c>
      <c r="D146" s="33">
        <v>10</v>
      </c>
      <c r="E146" s="33">
        <f>SUMIFS('3 - glass surface'!X:X,'3 - glass surface'!C:C,'5 - All data'!B146,'3 - glass surface'!D:D,'5 - All data'!D146,'3 - glass surface'!E:E,'5 - All data'!C146)+SUMIFS('3 - glass surface'!Y:Y,'3 - glass surface'!C:C,'5 - All data'!B146,'3 - glass surface'!D:D,'5 - All data'!D146,'3 - glass surface'!E:E,'5 - All data'!C146)</f>
        <v>5</v>
      </c>
      <c r="F146" s="33">
        <f>SUMIFS('3 - glass surface'!Z:Z,'3 - glass surface'!C:C,'5 - All data'!B146,'3 - glass surface'!D:D,'5 - All data'!D146,'3 - glass surface'!E:E,'5 - All data'!C146)+SUMIFS('3 - glass surface'!AA:AA,'3 - glass surface'!C:C,'5 - All data'!B146,'3 - glass surface'!D:D,'5 - All data'!D146,'3 - glass surface'!E:E,'5 - All data'!C146)</f>
        <v>5</v>
      </c>
      <c r="G146" s="33">
        <f t="shared" si="18"/>
        <v>10</v>
      </c>
      <c r="H146" s="117">
        <f t="shared" si="19"/>
        <v>0.5</v>
      </c>
    </row>
    <row r="147" spans="1:8" x14ac:dyDescent="0.2">
      <c r="A147" s="33" t="s">
        <v>276</v>
      </c>
      <c r="B147" s="46">
        <v>48</v>
      </c>
      <c r="C147" s="33" t="s">
        <v>227</v>
      </c>
      <c r="D147" s="33">
        <v>10</v>
      </c>
      <c r="E147" s="33">
        <f>SUMIFS('3 - glass surface'!X:X,'3 - glass surface'!C:C,'5 - All data'!B147,'3 - glass surface'!D:D,'5 - All data'!D147,'3 - glass surface'!E:E,'5 - All data'!C147)+SUMIFS('3 - glass surface'!Y:Y,'3 - glass surface'!C:C,'5 - All data'!B147,'3 - glass surface'!D:D,'5 - All data'!D147,'3 - glass surface'!E:E,'5 - All data'!C147)</f>
        <v>2</v>
      </c>
      <c r="F147" s="33">
        <f>SUMIFS('3 - glass surface'!Z:Z,'3 - glass surface'!C:C,'5 - All data'!B147,'3 - glass surface'!D:D,'5 - All data'!D147,'3 - glass surface'!E:E,'5 - All data'!C147)+SUMIFS('3 - glass surface'!AA:AA,'3 - glass surface'!C:C,'5 - All data'!B147,'3 - glass surface'!D:D,'5 - All data'!D147,'3 - glass surface'!E:E,'5 - All data'!C147)</f>
        <v>19</v>
      </c>
      <c r="G147" s="33">
        <f t="shared" si="18"/>
        <v>21</v>
      </c>
      <c r="H147" s="117">
        <f t="shared" si="19"/>
        <v>9.5238095238095233E-2</v>
      </c>
    </row>
    <row r="148" spans="1:8" x14ac:dyDescent="0.2">
      <c r="A148" s="33" t="s">
        <v>276</v>
      </c>
      <c r="B148" s="46">
        <v>48</v>
      </c>
      <c r="C148" s="33" t="s">
        <v>228</v>
      </c>
      <c r="D148" s="33">
        <v>10</v>
      </c>
      <c r="E148" s="33">
        <f>SUMIFS('3 - glass surface'!X:X,'3 - glass surface'!C:C,'5 - All data'!B148,'3 - glass surface'!D:D,'5 - All data'!D148,'3 - glass surface'!E:E,'5 - All data'!C148)+SUMIFS('3 - glass surface'!Y:Y,'3 - glass surface'!C:C,'5 - All data'!B148,'3 - glass surface'!D:D,'5 - All data'!D148,'3 - glass surface'!E:E,'5 - All data'!C148)</f>
        <v>3</v>
      </c>
      <c r="F148" s="33">
        <f>SUMIFS('3 - glass surface'!Z:Z,'3 - glass surface'!C:C,'5 - All data'!B148,'3 - glass surface'!D:D,'5 - All data'!D148,'3 - glass surface'!E:E,'5 - All data'!C148)+SUMIFS('3 - glass surface'!AA:AA,'3 - glass surface'!C:C,'5 - All data'!B148,'3 - glass surface'!D:D,'5 - All data'!D148,'3 - glass surface'!E:E,'5 - All data'!C148)</f>
        <v>13</v>
      </c>
      <c r="G148" s="33">
        <f t="shared" si="18"/>
        <v>16</v>
      </c>
      <c r="H148" s="117">
        <f t="shared" si="19"/>
        <v>0.1875</v>
      </c>
    </row>
    <row r="149" spans="1:8" x14ac:dyDescent="0.2">
      <c r="A149" s="33" t="s">
        <v>276</v>
      </c>
      <c r="B149" s="46">
        <v>48</v>
      </c>
      <c r="C149" s="33" t="s">
        <v>229</v>
      </c>
      <c r="D149" s="33">
        <v>10</v>
      </c>
      <c r="E149" s="33">
        <f>SUMIFS('3 - glass surface'!X:X,'3 - glass surface'!C:C,'5 - All data'!B149,'3 - glass surface'!D:D,'5 - All data'!D149,'3 - glass surface'!E:E,'5 - All data'!C149)+SUMIFS('3 - glass surface'!Y:Y,'3 - glass surface'!C:C,'5 - All data'!B149,'3 - glass surface'!D:D,'5 - All data'!D149,'3 - glass surface'!E:E,'5 - All data'!C149)</f>
        <v>2</v>
      </c>
      <c r="F149" s="33">
        <f>SUMIFS('3 - glass surface'!Z:Z,'3 - glass surface'!C:C,'5 - All data'!B149,'3 - glass surface'!D:D,'5 - All data'!D149,'3 - glass surface'!E:E,'5 - All data'!C149)+SUMIFS('3 - glass surface'!AA:AA,'3 - glass surface'!C:C,'5 - All data'!B149,'3 - glass surface'!D:D,'5 - All data'!D149,'3 - glass surface'!E:E,'5 - All data'!C149)</f>
        <v>16</v>
      </c>
      <c r="G149" s="33">
        <f t="shared" si="18"/>
        <v>18</v>
      </c>
      <c r="H149" s="117">
        <f t="shared" si="19"/>
        <v>0.1111111111111111</v>
      </c>
    </row>
    <row r="150" spans="1:8" x14ac:dyDescent="0.2">
      <c r="A150" s="33" t="s">
        <v>276</v>
      </c>
      <c r="B150" s="46">
        <v>336</v>
      </c>
      <c r="C150" s="33" t="s">
        <v>201</v>
      </c>
      <c r="D150" s="33">
        <v>10</v>
      </c>
      <c r="E150" s="33">
        <f>SUMIFS('3 - glass surface'!X:X,'3 - glass surface'!C:C,'5 - All data'!B150,'3 - glass surface'!D:D,'5 - All data'!D150,'3 - glass surface'!E:E,'5 - All data'!C150)+SUMIFS('3 - glass surface'!Y:Y,'3 - glass surface'!C:C,'5 - All data'!B150,'3 - glass surface'!D:D,'5 - All data'!D150,'3 - glass surface'!E:E,'5 - All data'!C150)</f>
        <v>0</v>
      </c>
      <c r="F150" s="33">
        <f>SUMIFS('3 - glass surface'!Z:Z,'3 - glass surface'!C:C,'5 - All data'!B150,'3 - glass surface'!D:D,'5 - All data'!D150,'3 - glass surface'!E:E,'5 - All data'!C150)+SUMIFS('3 - glass surface'!AA:AA,'3 - glass surface'!C:C,'5 - All data'!B150,'3 - glass surface'!D:D,'5 - All data'!D150,'3 - glass surface'!E:E,'5 - All data'!C150)</f>
        <v>17</v>
      </c>
      <c r="G150" s="33">
        <f t="shared" si="18"/>
        <v>17</v>
      </c>
      <c r="H150" s="117">
        <f t="shared" si="19"/>
        <v>0</v>
      </c>
    </row>
    <row r="151" spans="1:8" x14ac:dyDescent="0.2">
      <c r="A151" s="33" t="s">
        <v>276</v>
      </c>
      <c r="B151" s="46">
        <v>336</v>
      </c>
      <c r="C151" s="33" t="s">
        <v>202</v>
      </c>
      <c r="D151" s="33">
        <v>10</v>
      </c>
      <c r="E151" s="33">
        <f>SUMIFS('3 - glass surface'!X:X,'3 - glass surface'!C:C,'5 - All data'!B151,'3 - glass surface'!D:D,'5 - All data'!D151,'3 - glass surface'!E:E,'5 - All data'!C151)+SUMIFS('3 - glass surface'!Y:Y,'3 - glass surface'!C:C,'5 - All data'!B151,'3 - glass surface'!D:D,'5 - All data'!D151,'3 - glass surface'!E:E,'5 - All data'!C151)</f>
        <v>0</v>
      </c>
      <c r="F151" s="33">
        <f>SUMIFS('3 - glass surface'!Z:Z,'3 - glass surface'!C:C,'5 - All data'!B151,'3 - glass surface'!D:D,'5 - All data'!D151,'3 - glass surface'!E:E,'5 - All data'!C151)+SUMIFS('3 - glass surface'!AA:AA,'3 - glass surface'!C:C,'5 - All data'!B151,'3 - glass surface'!D:D,'5 - All data'!D151,'3 - glass surface'!E:E,'5 - All data'!C151)</f>
        <v>20</v>
      </c>
      <c r="G151" s="33">
        <f t="shared" ref="G151:G152" si="20">SUM(E151:F151)</f>
        <v>20</v>
      </c>
      <c r="H151" s="117">
        <f t="shared" si="19"/>
        <v>0</v>
      </c>
    </row>
    <row r="152" spans="1:8" x14ac:dyDescent="0.2">
      <c r="A152" s="33" t="s">
        <v>276</v>
      </c>
      <c r="B152" s="46">
        <v>336</v>
      </c>
      <c r="C152" s="33" t="s">
        <v>203</v>
      </c>
      <c r="D152" s="33">
        <v>10</v>
      </c>
      <c r="E152" s="33">
        <f>SUMIFS('3 - glass surface'!X:X,'3 - glass surface'!C:C,'5 - All data'!B152,'3 - glass surface'!D:D,'5 - All data'!D152,'3 - glass surface'!E:E,'5 - All data'!C152)+SUMIFS('3 - glass surface'!Y:Y,'3 - glass surface'!C:C,'5 - All data'!B152,'3 - glass surface'!D:D,'5 - All data'!D152,'3 - glass surface'!E:E,'5 - All data'!C152)</f>
        <v>0</v>
      </c>
      <c r="F152" s="33">
        <f>SUMIFS('3 - glass surface'!Z:Z,'3 - glass surface'!C:C,'5 - All data'!B152,'3 - glass surface'!D:D,'5 - All data'!D152,'3 - glass surface'!E:E,'5 - All data'!C152)+SUMIFS('3 - glass surface'!AA:AA,'3 - glass surface'!C:C,'5 - All data'!B152,'3 - glass surface'!D:D,'5 - All data'!D152,'3 - glass surface'!E:E,'5 - All data'!C152)</f>
        <v>19</v>
      </c>
      <c r="G152" s="33">
        <f t="shared" si="20"/>
        <v>19</v>
      </c>
      <c r="H152" s="117">
        <f t="shared" si="19"/>
        <v>0</v>
      </c>
    </row>
    <row r="153" spans="1:8" x14ac:dyDescent="0.2">
      <c r="A153" s="15" t="s">
        <v>277</v>
      </c>
      <c r="B153" s="15">
        <v>2</v>
      </c>
      <c r="C153" s="15" t="s">
        <v>241</v>
      </c>
      <c r="D153" s="15" t="e">
        <f>NA()</f>
        <v>#N/A</v>
      </c>
      <c r="E153" s="33">
        <f>SUMIFS('4 - hedgehog spines'!W:W,'4 - hedgehog spines'!D:D,'5 - All data'!C153,'4 - hedgehog spines'!C:C,'5 - All data'!B153)+SUMIFS('4 - hedgehog spines'!X:X,'4 - hedgehog spines'!D:D,'5 - All data'!C153,'4 - hedgehog spines'!C:C,'5 - All data'!B153)</f>
        <v>3</v>
      </c>
      <c r="F153">
        <f>SUMIFS('4 - hedgehog spines'!Y:Y,'4 - hedgehog spines'!D:D,'5 - All data'!C153,'4 - hedgehog spines'!C:C,'5 - All data'!B153)+SUMIFS('4 - hedgehog spines'!Z:Z,'4 - hedgehog spines'!D:D,'5 - All data'!C153,'4 - hedgehog spines'!C:C,'5 - All data'!B153)</f>
        <v>10</v>
      </c>
      <c r="G153" s="33">
        <f t="shared" ref="G153" si="21">SUM(E153:F153)</f>
        <v>13</v>
      </c>
      <c r="H153" s="117">
        <f t="shared" ref="H153" si="22">E153/G153</f>
        <v>0.23076923076923078</v>
      </c>
    </row>
    <row r="154" spans="1:8" x14ac:dyDescent="0.2">
      <c r="A154" s="15" t="s">
        <v>277</v>
      </c>
      <c r="B154" s="15">
        <v>24</v>
      </c>
      <c r="C154" s="15" t="s">
        <v>236</v>
      </c>
      <c r="D154" s="15" t="e">
        <f>NA()</f>
        <v>#N/A</v>
      </c>
      <c r="E154" s="33">
        <f>SUMIFS('4 - hedgehog spines'!W:W,'4 - hedgehog spines'!D:D,'5 - All data'!C154,'4 - hedgehog spines'!C:C,'5 - All data'!B154)+SUMIFS('4 - hedgehog spines'!X:X,'4 - hedgehog spines'!D:D,'5 - All data'!C154,'4 - hedgehog spines'!C:C,'5 - All data'!B154)</f>
        <v>9</v>
      </c>
      <c r="F154" s="33">
        <f>SUMIFS('4 - hedgehog spines'!Y:Y,'4 - hedgehog spines'!D:D,'5 - All data'!C154,'4 - hedgehog spines'!C:C,'5 - All data'!B154)+SUMIFS('4 - hedgehog spines'!Z:Z,'4 - hedgehog spines'!D:D,'5 - All data'!C154,'4 - hedgehog spines'!C:C,'5 - All data'!B154)</f>
        <v>4</v>
      </c>
      <c r="G154" s="33">
        <f t="shared" ref="G154:G165" si="23">SUM(E154:F154)</f>
        <v>13</v>
      </c>
      <c r="H154" s="117">
        <f t="shared" ref="H154:H165" si="24">E154/G154</f>
        <v>0.69230769230769229</v>
      </c>
    </row>
    <row r="155" spans="1:8" x14ac:dyDescent="0.2">
      <c r="A155" s="15" t="s">
        <v>277</v>
      </c>
      <c r="B155" s="15">
        <v>24</v>
      </c>
      <c r="C155" s="15" t="s">
        <v>237</v>
      </c>
      <c r="D155" s="15" t="e">
        <f>NA()</f>
        <v>#N/A</v>
      </c>
      <c r="E155" s="33">
        <f>SUMIFS('4 - hedgehog spines'!W:W,'4 - hedgehog spines'!D:D,'5 - All data'!C155,'4 - hedgehog spines'!C:C,'5 - All data'!B155)+SUMIFS('4 - hedgehog spines'!X:X,'4 - hedgehog spines'!D:D,'5 - All data'!C155,'4 - hedgehog spines'!C:C,'5 - All data'!B155)</f>
        <v>3</v>
      </c>
      <c r="F155" s="33">
        <f>SUMIFS('4 - hedgehog spines'!Y:Y,'4 - hedgehog spines'!D:D,'5 - All data'!C155,'4 - hedgehog spines'!C:C,'5 - All data'!B155)+SUMIFS('4 - hedgehog spines'!Z:Z,'4 - hedgehog spines'!D:D,'5 - All data'!C155,'4 - hedgehog spines'!C:C,'5 - All data'!B155)</f>
        <v>11</v>
      </c>
      <c r="G155" s="33">
        <f t="shared" si="23"/>
        <v>14</v>
      </c>
      <c r="H155" s="117">
        <f t="shared" si="24"/>
        <v>0.21428571428571427</v>
      </c>
    </row>
    <row r="156" spans="1:8" x14ac:dyDescent="0.2">
      <c r="A156" s="15" t="s">
        <v>277</v>
      </c>
      <c r="B156" s="15">
        <v>24</v>
      </c>
      <c r="C156" s="15" t="s">
        <v>238</v>
      </c>
      <c r="D156" s="15" t="e">
        <f>NA()</f>
        <v>#N/A</v>
      </c>
      <c r="E156" s="33">
        <f>SUMIFS('4 - hedgehog spines'!W:W,'4 - hedgehog spines'!D:D,'5 - All data'!C156,'4 - hedgehog spines'!C:C,'5 - All data'!B156)+SUMIFS('4 - hedgehog spines'!X:X,'4 - hedgehog spines'!D:D,'5 - All data'!C156,'4 - hedgehog spines'!C:C,'5 - All data'!B156)</f>
        <v>10</v>
      </c>
      <c r="F156" s="33">
        <f>SUMIFS('4 - hedgehog spines'!Y:Y,'4 - hedgehog spines'!D:D,'5 - All data'!C156,'4 - hedgehog spines'!C:C,'5 - All data'!B156)+SUMIFS('4 - hedgehog spines'!Z:Z,'4 - hedgehog spines'!D:D,'5 - All data'!C156,'4 - hedgehog spines'!C:C,'5 - All data'!B156)</f>
        <v>9</v>
      </c>
      <c r="G156" s="33">
        <f t="shared" si="23"/>
        <v>19</v>
      </c>
      <c r="H156" s="117">
        <f t="shared" si="24"/>
        <v>0.52631578947368418</v>
      </c>
    </row>
    <row r="157" spans="1:8" x14ac:dyDescent="0.2">
      <c r="A157" s="15" t="s">
        <v>277</v>
      </c>
      <c r="B157" s="15">
        <v>24</v>
      </c>
      <c r="C157" s="15" t="s">
        <v>239</v>
      </c>
      <c r="D157" s="15" t="e">
        <f>NA()</f>
        <v>#N/A</v>
      </c>
      <c r="E157" s="33">
        <f>SUMIFS('4 - hedgehog spines'!W:W,'4 - hedgehog spines'!D:D,'5 - All data'!C157,'4 - hedgehog spines'!C:C,'5 - All data'!B157)+SUMIFS('4 - hedgehog spines'!X:X,'4 - hedgehog spines'!D:D,'5 - All data'!C157,'4 - hedgehog spines'!C:C,'5 - All data'!B157)</f>
        <v>3</v>
      </c>
      <c r="F157" s="33">
        <f>SUMIFS('4 - hedgehog spines'!Y:Y,'4 - hedgehog spines'!D:D,'5 - All data'!C157,'4 - hedgehog spines'!C:C,'5 - All data'!B157)+SUMIFS('4 - hedgehog spines'!Z:Z,'4 - hedgehog spines'!D:D,'5 - All data'!C157,'4 - hedgehog spines'!C:C,'5 - All data'!B157)</f>
        <v>15</v>
      </c>
      <c r="G157" s="33">
        <f t="shared" si="23"/>
        <v>18</v>
      </c>
      <c r="H157" s="117">
        <f t="shared" si="24"/>
        <v>0.16666666666666666</v>
      </c>
    </row>
    <row r="158" spans="1:8" x14ac:dyDescent="0.2">
      <c r="A158" s="15" t="s">
        <v>277</v>
      </c>
      <c r="B158" s="15">
        <v>24</v>
      </c>
      <c r="C158" s="15" t="s">
        <v>240</v>
      </c>
      <c r="D158" s="15" t="e">
        <f>NA()</f>
        <v>#N/A</v>
      </c>
      <c r="E158" s="33">
        <f>SUMIFS('4 - hedgehog spines'!W:W,'4 - hedgehog spines'!D:D,'5 - All data'!C158,'4 - hedgehog spines'!C:C,'5 - All data'!B158)+SUMIFS('4 - hedgehog spines'!X:X,'4 - hedgehog spines'!D:D,'5 - All data'!C158,'4 - hedgehog spines'!C:C,'5 - All data'!B158)</f>
        <v>15</v>
      </c>
      <c r="F158" s="33">
        <f>SUMIFS('4 - hedgehog spines'!Y:Y,'4 - hedgehog spines'!D:D,'5 - All data'!C158,'4 - hedgehog spines'!C:C,'5 - All data'!B158)+SUMIFS('4 - hedgehog spines'!Z:Z,'4 - hedgehog spines'!D:D,'5 - All data'!C158,'4 - hedgehog spines'!C:C,'5 - All data'!B158)</f>
        <v>2</v>
      </c>
      <c r="G158" s="33">
        <f t="shared" si="23"/>
        <v>17</v>
      </c>
      <c r="H158" s="117">
        <f t="shared" si="24"/>
        <v>0.88235294117647056</v>
      </c>
    </row>
    <row r="159" spans="1:8" x14ac:dyDescent="0.2">
      <c r="A159" s="15" t="s">
        <v>277</v>
      </c>
      <c r="B159" s="15">
        <v>48</v>
      </c>
      <c r="C159" s="15" t="s">
        <v>232</v>
      </c>
      <c r="D159" s="15" t="e">
        <f>NA()</f>
        <v>#N/A</v>
      </c>
      <c r="E159" s="33">
        <f>SUMIFS('4 - hedgehog spines'!W:W,'4 - hedgehog spines'!D:D,'5 - All data'!C159,'4 - hedgehog spines'!C:C,'5 - All data'!B159)+SUMIFS('4 - hedgehog spines'!X:X,'4 - hedgehog spines'!D:D,'5 - All data'!C159,'4 - hedgehog spines'!C:C,'5 - All data'!B159)</f>
        <v>10</v>
      </c>
      <c r="F159" s="33">
        <f>SUMIFS('4 - hedgehog spines'!Y:Y,'4 - hedgehog spines'!D:D,'5 - All data'!C159,'4 - hedgehog spines'!C:C,'5 - All data'!B159)+SUMIFS('4 - hedgehog spines'!Z:Z,'4 - hedgehog spines'!D:D,'5 - All data'!C159,'4 - hedgehog spines'!C:C,'5 - All data'!B159)</f>
        <v>10</v>
      </c>
      <c r="G159" s="33">
        <f t="shared" si="23"/>
        <v>20</v>
      </c>
      <c r="H159" s="117">
        <f t="shared" si="24"/>
        <v>0.5</v>
      </c>
    </row>
    <row r="160" spans="1:8" x14ac:dyDescent="0.2">
      <c r="A160" s="15" t="s">
        <v>277</v>
      </c>
      <c r="B160" s="15">
        <v>48</v>
      </c>
      <c r="C160" s="15" t="s">
        <v>233</v>
      </c>
      <c r="D160" s="15" t="e">
        <f>NA()</f>
        <v>#N/A</v>
      </c>
      <c r="E160" s="33">
        <f>SUMIFS('4 - hedgehog spines'!W:W,'4 - hedgehog spines'!D:D,'5 - All data'!C160,'4 - hedgehog spines'!C:C,'5 - All data'!B160)+SUMIFS('4 - hedgehog spines'!X:X,'4 - hedgehog spines'!D:D,'5 - All data'!C160,'4 - hedgehog spines'!C:C,'5 - All data'!B160)</f>
        <v>4</v>
      </c>
      <c r="F160" s="33">
        <f>SUMIFS('4 - hedgehog spines'!Y:Y,'4 - hedgehog spines'!D:D,'5 - All data'!C160,'4 - hedgehog spines'!C:C,'5 - All data'!B160)+SUMIFS('4 - hedgehog spines'!Z:Z,'4 - hedgehog spines'!D:D,'5 - All data'!C160,'4 - hedgehog spines'!C:C,'5 - All data'!B160)</f>
        <v>12</v>
      </c>
      <c r="G160" s="33">
        <f t="shared" si="23"/>
        <v>16</v>
      </c>
      <c r="H160" s="117">
        <f t="shared" si="24"/>
        <v>0.25</v>
      </c>
    </row>
    <row r="161" spans="1:8" x14ac:dyDescent="0.2">
      <c r="A161" s="15" t="s">
        <v>277</v>
      </c>
      <c r="B161" s="15">
        <v>48</v>
      </c>
      <c r="C161" s="15" t="s">
        <v>234</v>
      </c>
      <c r="D161" s="15" t="e">
        <f>NA()</f>
        <v>#N/A</v>
      </c>
      <c r="E161" s="33">
        <f>SUMIFS('4 - hedgehog spines'!W:W,'4 - hedgehog spines'!D:D,'5 - All data'!C161,'4 - hedgehog spines'!C:C,'5 - All data'!B161)+SUMIFS('4 - hedgehog spines'!X:X,'4 - hedgehog spines'!D:D,'5 - All data'!C161,'4 - hedgehog spines'!C:C,'5 - All data'!B161)</f>
        <v>7</v>
      </c>
      <c r="F161" s="33">
        <f>SUMIFS('4 - hedgehog spines'!Y:Y,'4 - hedgehog spines'!D:D,'5 - All data'!C161,'4 - hedgehog spines'!C:C,'5 - All data'!B161)+SUMIFS('4 - hedgehog spines'!Z:Z,'4 - hedgehog spines'!D:D,'5 - All data'!C161,'4 - hedgehog spines'!C:C,'5 - All data'!B161)</f>
        <v>8</v>
      </c>
      <c r="G161" s="33">
        <f t="shared" si="23"/>
        <v>15</v>
      </c>
      <c r="H161" s="117">
        <f t="shared" si="24"/>
        <v>0.46666666666666667</v>
      </c>
    </row>
    <row r="162" spans="1:8" x14ac:dyDescent="0.2">
      <c r="A162" s="15" t="s">
        <v>277</v>
      </c>
      <c r="B162" s="15">
        <v>48</v>
      </c>
      <c r="C162" s="15" t="s">
        <v>235</v>
      </c>
      <c r="D162" s="15" t="e">
        <f>NA()</f>
        <v>#N/A</v>
      </c>
      <c r="E162" s="33">
        <f>SUMIFS('4 - hedgehog spines'!W:W,'4 - hedgehog spines'!D:D,'5 - All data'!C162,'4 - hedgehog spines'!C:C,'5 - All data'!B162)+SUMIFS('4 - hedgehog spines'!X:X,'4 - hedgehog spines'!D:D,'5 - All data'!C162,'4 - hedgehog spines'!C:C,'5 - All data'!B162)</f>
        <v>7</v>
      </c>
      <c r="F162" s="33">
        <f>SUMIFS('4 - hedgehog spines'!Y:Y,'4 - hedgehog spines'!D:D,'5 - All data'!C162,'4 - hedgehog spines'!C:C,'5 - All data'!B162)+SUMIFS('4 - hedgehog spines'!Z:Z,'4 - hedgehog spines'!D:D,'5 - All data'!C162,'4 - hedgehog spines'!C:C,'5 - All data'!B162)</f>
        <v>11</v>
      </c>
      <c r="G162" s="33">
        <f t="shared" si="23"/>
        <v>18</v>
      </c>
      <c r="H162" s="117">
        <f t="shared" si="24"/>
        <v>0.3888888888888889</v>
      </c>
    </row>
    <row r="163" spans="1:8" x14ac:dyDescent="0.2">
      <c r="A163" s="15" t="s">
        <v>277</v>
      </c>
      <c r="B163" s="15">
        <v>48</v>
      </c>
      <c r="C163" s="15" t="s">
        <v>244</v>
      </c>
      <c r="D163" s="15" t="e">
        <f>NA()</f>
        <v>#N/A</v>
      </c>
      <c r="E163" s="33">
        <f>SUMIFS('4 - hedgehog spines'!W:W,'4 - hedgehog spines'!D:D,'5 - All data'!C163,'4 - hedgehog spines'!C:C,'5 - All data'!B163)+SUMIFS('4 - hedgehog spines'!X:X,'4 - hedgehog spines'!D:D,'5 - All data'!C163,'4 - hedgehog spines'!C:C,'5 - All data'!B163)</f>
        <v>2</v>
      </c>
      <c r="F163" s="33">
        <f>SUMIFS('4 - hedgehog spines'!Y:Y,'4 - hedgehog spines'!D:D,'5 - All data'!C163,'4 - hedgehog spines'!C:C,'5 - All data'!B163)+SUMIFS('4 - hedgehog spines'!Z:Z,'4 - hedgehog spines'!D:D,'5 - All data'!C163,'4 - hedgehog spines'!C:C,'5 - All data'!B163)</f>
        <v>13</v>
      </c>
      <c r="G163" s="33">
        <f t="shared" si="23"/>
        <v>15</v>
      </c>
      <c r="H163" s="117">
        <f t="shared" si="24"/>
        <v>0.13333333333333333</v>
      </c>
    </row>
    <row r="164" spans="1:8" x14ac:dyDescent="0.2">
      <c r="A164" s="15" t="s">
        <v>277</v>
      </c>
      <c r="B164" s="15">
        <v>48</v>
      </c>
      <c r="C164" s="15" t="s">
        <v>245</v>
      </c>
      <c r="D164" s="15" t="e">
        <f>NA()</f>
        <v>#N/A</v>
      </c>
      <c r="E164" s="33">
        <f>SUMIFS('4 - hedgehog spines'!W:W,'4 - hedgehog spines'!D:D,'5 - All data'!C164,'4 - hedgehog spines'!C:C,'5 - All data'!B164)+SUMIFS('4 - hedgehog spines'!X:X,'4 - hedgehog spines'!D:D,'5 - All data'!C164,'4 - hedgehog spines'!C:C,'5 - All data'!B164)</f>
        <v>7</v>
      </c>
      <c r="F164" s="33">
        <f>SUMIFS('4 - hedgehog spines'!Y:Y,'4 - hedgehog spines'!D:D,'5 - All data'!C164,'4 - hedgehog spines'!C:C,'5 - All data'!B164)+SUMIFS('4 - hedgehog spines'!Z:Z,'4 - hedgehog spines'!D:D,'5 - All data'!C164,'4 - hedgehog spines'!C:C,'5 - All data'!B164)</f>
        <v>12</v>
      </c>
      <c r="G164" s="33">
        <f t="shared" si="23"/>
        <v>19</v>
      </c>
      <c r="H164" s="117">
        <f t="shared" si="24"/>
        <v>0.36842105263157893</v>
      </c>
    </row>
    <row r="165" spans="1:8" x14ac:dyDescent="0.2">
      <c r="A165" s="15" t="s">
        <v>277</v>
      </c>
      <c r="B165" s="15">
        <v>48</v>
      </c>
      <c r="C165" s="15" t="s">
        <v>246</v>
      </c>
      <c r="D165" s="15" t="e">
        <f>NA()</f>
        <v>#N/A</v>
      </c>
      <c r="E165" s="33">
        <f>SUMIFS('4 - hedgehog spines'!W:W,'4 - hedgehog spines'!D:D,'5 - All data'!C165,'4 - hedgehog spines'!C:C,'5 - All data'!B165)+SUMIFS('4 - hedgehog spines'!X:X,'4 - hedgehog spines'!D:D,'5 - All data'!C165,'4 - hedgehog spines'!C:C,'5 - All data'!B165)</f>
        <v>5</v>
      </c>
      <c r="F165" s="33">
        <f>SUMIFS('4 - hedgehog spines'!Y:Y,'4 - hedgehog spines'!D:D,'5 - All data'!C165,'4 - hedgehog spines'!C:C,'5 - All data'!B165)+SUMIFS('4 - hedgehog spines'!Z:Z,'4 - hedgehog spines'!D:D,'5 - All data'!C165,'4 - hedgehog spines'!C:C,'5 - All data'!B165)</f>
        <v>10</v>
      </c>
      <c r="G165" s="33">
        <f t="shared" si="23"/>
        <v>15</v>
      </c>
      <c r="H165" s="117">
        <f t="shared" si="24"/>
        <v>0.33333333333333331</v>
      </c>
    </row>
    <row r="166" spans="1:8" x14ac:dyDescent="0.2">
      <c r="A166" s="46"/>
      <c r="B166"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Indledning</vt:lpstr>
      <vt:lpstr>1 - Filterpapir SW</vt:lpstr>
      <vt:lpstr>2 - Filterpapir dH2O</vt:lpstr>
      <vt:lpstr>3 - glass surface</vt:lpstr>
      <vt:lpstr>4 - hedgehog spines</vt:lpstr>
      <vt:lpstr>Controls</vt:lpstr>
      <vt:lpstr>5 - All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vjp649</dc:creator>
  <cp:lastModifiedBy>Robyn Stuart</cp:lastModifiedBy>
  <cp:revision>0</cp:revision>
  <dcterms:created xsi:type="dcterms:W3CDTF">2014-05-30T09:11:52Z</dcterms:created>
  <dcterms:modified xsi:type="dcterms:W3CDTF">2018-06-04T14:31:23Z</dcterms:modified>
</cp:coreProperties>
</file>