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45" yWindow="-60" windowWidth="17595" windowHeight="12885" tabRatio="511"/>
  </bookViews>
  <sheets>
    <sheet name="Introduction" sheetId="6" r:id="rId1"/>
    <sheet name="1 - Filterpaper SW" sheetId="1" r:id="rId2"/>
    <sheet name="2 - glass surface" sheetId="3" r:id="rId3"/>
    <sheet name="3 - hedgehog spines" sheetId="4" r:id="rId4"/>
  </sheets>
  <calcPr calcId="145621" concurrentCalc="0"/>
</workbook>
</file>

<file path=xl/calcChain.xml><?xml version="1.0" encoding="utf-8"?>
<calcChain xmlns="http://schemas.openxmlformats.org/spreadsheetml/2006/main">
  <c r="D33" i="4" l="1"/>
  <c r="D23" i="4"/>
  <c r="D11" i="4"/>
  <c r="U33" i="4"/>
  <c r="U34" i="4"/>
  <c r="Z24" i="4"/>
  <c r="Z12" i="4"/>
  <c r="Z34" i="4"/>
  <c r="Z33" i="4"/>
  <c r="Z23" i="4"/>
  <c r="U30" i="4"/>
  <c r="U24" i="4"/>
  <c r="Z15" i="4"/>
  <c r="Z16" i="4"/>
  <c r="Z17" i="4"/>
  <c r="Z18" i="4"/>
  <c r="Z19" i="4"/>
  <c r="Z20" i="4"/>
  <c r="Z14" i="4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D101" i="1"/>
  <c r="D100" i="1"/>
  <c r="D99" i="1"/>
  <c r="D97" i="1"/>
  <c r="D96" i="1"/>
  <c r="D92" i="1"/>
  <c r="D91" i="1"/>
  <c r="D90" i="1"/>
  <c r="D89" i="1"/>
  <c r="D88" i="1"/>
  <c r="D83" i="1"/>
  <c r="D82" i="1"/>
  <c r="D81" i="1"/>
  <c r="D80" i="1"/>
  <c r="D79" i="1"/>
  <c r="D78" i="1"/>
  <c r="D74" i="1"/>
  <c r="D73" i="1"/>
  <c r="D72" i="1"/>
  <c r="D71" i="1"/>
  <c r="D70" i="1"/>
  <c r="D69" i="1"/>
  <c r="D65" i="1"/>
  <c r="D64" i="1"/>
  <c r="D63" i="1"/>
  <c r="D62" i="1"/>
  <c r="D61" i="1"/>
  <c r="D60" i="1"/>
  <c r="D59" i="1"/>
  <c r="D58" i="1"/>
  <c r="D57" i="1"/>
  <c r="D56" i="1"/>
  <c r="D55" i="1"/>
  <c r="D51" i="1"/>
  <c r="D50" i="1"/>
  <c r="D49" i="1"/>
  <c r="D48" i="1"/>
  <c r="D47" i="1"/>
  <c r="D46" i="1"/>
  <c r="D42" i="1"/>
  <c r="D41" i="1"/>
  <c r="D40" i="1"/>
  <c r="D39" i="1"/>
  <c r="D38" i="1"/>
  <c r="D10" i="1"/>
  <c r="D9" i="1"/>
  <c r="D8" i="1"/>
  <c r="D22" i="1"/>
  <c r="D21" i="1"/>
  <c r="D20" i="1"/>
  <c r="D33" i="1"/>
  <c r="D32" i="1"/>
  <c r="D31" i="1"/>
  <c r="D30" i="1"/>
  <c r="D29" i="1"/>
  <c r="D28" i="1"/>
  <c r="D19" i="1"/>
  <c r="D18" i="1"/>
  <c r="D17" i="1"/>
  <c r="D7" i="1"/>
  <c r="D6" i="1"/>
  <c r="D5" i="1"/>
  <c r="D32" i="4"/>
  <c r="D31" i="4"/>
  <c r="D30" i="4"/>
  <c r="D5" i="4"/>
  <c r="D4" i="4"/>
  <c r="Z10" i="4"/>
  <c r="U10" i="4"/>
  <c r="Z9" i="4"/>
  <c r="U9" i="4"/>
  <c r="Z8" i="4"/>
  <c r="U8" i="4"/>
  <c r="Z7" i="4"/>
  <c r="U7" i="4"/>
  <c r="Z6" i="4"/>
  <c r="U6" i="4"/>
  <c r="Z5" i="4"/>
  <c r="U5" i="4"/>
  <c r="Z4" i="4"/>
  <c r="U4" i="4"/>
  <c r="D17" i="4"/>
  <c r="D16" i="4"/>
  <c r="D15" i="4"/>
  <c r="D14" i="4"/>
  <c r="D29" i="4"/>
  <c r="D28" i="4"/>
  <c r="D27" i="4"/>
  <c r="D26" i="4"/>
  <c r="U12" i="4"/>
  <c r="Z21" i="4"/>
  <c r="U21" i="4"/>
  <c r="U20" i="4"/>
  <c r="U19" i="4"/>
  <c r="U18" i="4"/>
  <c r="U17" i="4"/>
  <c r="U16" i="4"/>
  <c r="U15" i="4"/>
  <c r="Z32" i="4"/>
  <c r="U32" i="4"/>
  <c r="Z31" i="4"/>
  <c r="U31" i="4"/>
  <c r="Z30" i="4"/>
  <c r="Z29" i="4"/>
  <c r="U29" i="4"/>
  <c r="Z28" i="4"/>
  <c r="U28" i="4"/>
  <c r="Z27" i="4"/>
  <c r="U27" i="4"/>
  <c r="Z26" i="4"/>
  <c r="U26" i="4"/>
  <c r="Z32" i="3"/>
  <c r="U32" i="3"/>
  <c r="D32" i="3"/>
  <c r="D106" i="3"/>
  <c r="D105" i="3"/>
  <c r="D104" i="3"/>
  <c r="D71" i="3"/>
  <c r="D70" i="3"/>
  <c r="D69" i="3"/>
  <c r="D68" i="3"/>
  <c r="Z70" i="3"/>
  <c r="Z71" i="3"/>
  <c r="Z68" i="3"/>
  <c r="Z69" i="3"/>
  <c r="U68" i="3"/>
  <c r="U69" i="3"/>
  <c r="U70" i="3"/>
  <c r="U71" i="3"/>
  <c r="Z57" i="3"/>
  <c r="Z58" i="3"/>
  <c r="Z59" i="3"/>
  <c r="U57" i="3"/>
  <c r="U58" i="3"/>
  <c r="U59" i="3"/>
  <c r="D99" i="3"/>
  <c r="D59" i="3"/>
  <c r="D58" i="3"/>
  <c r="D57" i="3"/>
  <c r="D56" i="3"/>
  <c r="D31" i="3"/>
  <c r="D30" i="3"/>
  <c r="D29" i="3"/>
  <c r="D28" i="3"/>
  <c r="D48" i="3"/>
  <c r="D47" i="3"/>
  <c r="D46" i="3"/>
  <c r="D67" i="3"/>
  <c r="D66" i="3"/>
  <c r="D65" i="3"/>
  <c r="D78" i="3"/>
  <c r="D77" i="3"/>
  <c r="D76" i="3"/>
  <c r="D113" i="3"/>
  <c r="D112" i="3"/>
  <c r="D111" i="3"/>
  <c r="Z115" i="3"/>
  <c r="U115" i="3"/>
  <c r="Z114" i="3"/>
  <c r="U114" i="3"/>
  <c r="Z113" i="3"/>
  <c r="U113" i="3"/>
  <c r="Z112" i="3"/>
  <c r="U112" i="3"/>
  <c r="Z111" i="3"/>
  <c r="U111" i="3"/>
  <c r="Z81" i="3"/>
  <c r="U81" i="3"/>
  <c r="Z80" i="3"/>
  <c r="U80" i="3"/>
  <c r="Z79" i="3"/>
  <c r="U79" i="3"/>
  <c r="Z78" i="3"/>
  <c r="U78" i="3"/>
  <c r="Z77" i="3"/>
  <c r="U77" i="3"/>
  <c r="Z76" i="3"/>
  <c r="U76" i="3"/>
  <c r="D41" i="3"/>
  <c r="D40" i="3"/>
  <c r="D39" i="3"/>
  <c r="D38" i="3"/>
  <c r="D37" i="3"/>
  <c r="D36" i="3"/>
  <c r="Z41" i="3"/>
  <c r="U41" i="3"/>
  <c r="Z40" i="3"/>
  <c r="U40" i="3"/>
  <c r="Z39" i="3"/>
  <c r="U39" i="3"/>
  <c r="Z38" i="3"/>
  <c r="U38" i="3"/>
  <c r="Z37" i="3"/>
  <c r="U37" i="3"/>
  <c r="Z36" i="3"/>
  <c r="U36" i="3"/>
  <c r="D11" i="3"/>
  <c r="Z11" i="3"/>
  <c r="U11" i="3"/>
  <c r="D45" i="3"/>
  <c r="D89" i="3"/>
  <c r="D88" i="3"/>
  <c r="D87" i="3"/>
  <c r="D86" i="3"/>
  <c r="D85" i="3"/>
  <c r="D10" i="3"/>
  <c r="D9" i="3"/>
  <c r="D8" i="3"/>
  <c r="D21" i="3"/>
  <c r="D20" i="3"/>
  <c r="D19" i="3"/>
  <c r="D55" i="3"/>
  <c r="D54" i="3"/>
  <c r="D98" i="3"/>
  <c r="D97" i="3"/>
  <c r="D103" i="3"/>
  <c r="D108" i="3"/>
  <c r="D64" i="3"/>
  <c r="D63" i="3"/>
  <c r="D26" i="3"/>
  <c r="D27" i="3"/>
  <c r="D94" i="3"/>
  <c r="D18" i="3"/>
  <c r="D17" i="3"/>
  <c r="D16" i="3"/>
  <c r="D6" i="3"/>
  <c r="D5" i="3"/>
  <c r="D7" i="3"/>
  <c r="D96" i="3"/>
  <c r="D95" i="3"/>
  <c r="Z72" i="3"/>
  <c r="U72" i="3"/>
  <c r="Z67" i="3"/>
  <c r="U67" i="3"/>
  <c r="Z66" i="3"/>
  <c r="U66" i="3"/>
  <c r="Z65" i="3"/>
  <c r="U65" i="3"/>
  <c r="Z64" i="3"/>
  <c r="U64" i="3"/>
  <c r="Z63" i="3"/>
  <c r="U63" i="3"/>
  <c r="Z56" i="3"/>
  <c r="U56" i="3"/>
  <c r="Z55" i="3"/>
  <c r="U55" i="3"/>
  <c r="Z54" i="3"/>
  <c r="U54" i="3"/>
  <c r="Z50" i="3"/>
  <c r="U50" i="3"/>
  <c r="Z49" i="3"/>
  <c r="U49" i="3"/>
  <c r="Z48" i="3"/>
  <c r="U48" i="3"/>
  <c r="Z47" i="3"/>
  <c r="U47" i="3"/>
  <c r="Z46" i="3"/>
  <c r="U46" i="3"/>
  <c r="Z45" i="3"/>
  <c r="U45" i="3"/>
  <c r="U85" i="3"/>
  <c r="Z85" i="3"/>
  <c r="U86" i="3"/>
  <c r="Z86" i="3"/>
  <c r="U87" i="3"/>
  <c r="Z87" i="3"/>
  <c r="U88" i="3"/>
  <c r="Z88" i="3"/>
  <c r="U89" i="3"/>
  <c r="Z89" i="3"/>
  <c r="U90" i="3"/>
  <c r="Z90" i="3"/>
  <c r="U94" i="3"/>
  <c r="Z94" i="3"/>
  <c r="U95" i="3"/>
  <c r="Z95" i="3"/>
  <c r="U96" i="3"/>
  <c r="Z96" i="3"/>
  <c r="U97" i="3"/>
  <c r="Z97" i="3"/>
  <c r="U98" i="3"/>
  <c r="Z98" i="3"/>
  <c r="U99" i="3"/>
  <c r="Z99" i="3"/>
  <c r="U103" i="3"/>
  <c r="Z103" i="3"/>
  <c r="U104" i="3"/>
  <c r="Z104" i="3"/>
  <c r="U105" i="3"/>
  <c r="Z105" i="3"/>
  <c r="U106" i="3"/>
  <c r="Z106" i="3"/>
  <c r="U107" i="3"/>
  <c r="Z107" i="3"/>
  <c r="Z31" i="3"/>
  <c r="U31" i="3"/>
  <c r="Z30" i="3"/>
  <c r="U30" i="3"/>
  <c r="Z29" i="3"/>
  <c r="U29" i="3"/>
  <c r="Z28" i="3"/>
  <c r="U28" i="3"/>
  <c r="Z27" i="3"/>
  <c r="U27" i="3"/>
  <c r="Z26" i="3"/>
  <c r="U26" i="3"/>
  <c r="Z22" i="3"/>
  <c r="U22" i="3"/>
  <c r="Z21" i="3"/>
  <c r="U21" i="3"/>
  <c r="Z20" i="3"/>
  <c r="U20" i="3"/>
  <c r="Z19" i="3"/>
  <c r="U19" i="3"/>
  <c r="Z18" i="3"/>
  <c r="U18" i="3"/>
  <c r="Z17" i="3"/>
  <c r="U17" i="3"/>
  <c r="Z16" i="3"/>
  <c r="U16" i="3"/>
  <c r="Z10" i="3"/>
  <c r="U10" i="3"/>
  <c r="Z9" i="3"/>
  <c r="U9" i="3"/>
  <c r="Z8" i="3"/>
  <c r="U8" i="3"/>
  <c r="Z7" i="3"/>
  <c r="U7" i="3"/>
  <c r="Z6" i="3"/>
  <c r="U6" i="3"/>
  <c r="Z5" i="3"/>
  <c r="U5" i="3"/>
  <c r="D51" i="3"/>
  <c r="U34" i="3"/>
  <c r="U33" i="3"/>
  <c r="Z34" i="3"/>
  <c r="Z33" i="3"/>
  <c r="D60" i="3"/>
  <c r="D42" i="3"/>
  <c r="D82" i="3"/>
  <c r="U13" i="3"/>
  <c r="Z14" i="3"/>
  <c r="D33" i="3"/>
  <c r="Z43" i="3"/>
  <c r="Z83" i="3"/>
  <c r="U117" i="3"/>
  <c r="Z117" i="3"/>
  <c r="D116" i="3"/>
  <c r="U116" i="3"/>
  <c r="Z116" i="3"/>
  <c r="U83" i="3"/>
  <c r="U82" i="3"/>
  <c r="Z82" i="3"/>
  <c r="U14" i="3"/>
  <c r="Z13" i="3"/>
  <c r="Z109" i="3"/>
  <c r="U43" i="3"/>
  <c r="U42" i="3"/>
  <c r="Z42" i="3"/>
  <c r="U91" i="3"/>
  <c r="D91" i="3"/>
  <c r="D13" i="3"/>
  <c r="U51" i="3"/>
  <c r="Z51" i="3"/>
  <c r="Z52" i="3"/>
  <c r="D100" i="3"/>
  <c r="D73" i="3"/>
  <c r="Z74" i="3"/>
  <c r="U74" i="3"/>
  <c r="U73" i="3"/>
  <c r="Z61" i="3"/>
  <c r="Z60" i="3"/>
  <c r="U61" i="3"/>
  <c r="U60" i="3"/>
  <c r="D23" i="3"/>
  <c r="Z73" i="3"/>
  <c r="U52" i="3"/>
  <c r="U109" i="3"/>
  <c r="Z108" i="3"/>
  <c r="U23" i="3"/>
  <c r="U108" i="3"/>
  <c r="U101" i="3"/>
  <c r="Z100" i="3"/>
  <c r="U92" i="3"/>
  <c r="Z92" i="3"/>
  <c r="Z101" i="3"/>
  <c r="Z23" i="3"/>
  <c r="U24" i="3"/>
  <c r="U100" i="3"/>
  <c r="Z91" i="3"/>
  <c r="Z24" i="3"/>
  <c r="BB120" i="1"/>
  <c r="AW120" i="1"/>
  <c r="AR120" i="1"/>
  <c r="BB119" i="1"/>
  <c r="AW119" i="1"/>
  <c r="AR119" i="1"/>
  <c r="BB118" i="1"/>
  <c r="AW118" i="1"/>
  <c r="BB117" i="1"/>
  <c r="AW117" i="1"/>
  <c r="BB116" i="1"/>
  <c r="AW116" i="1"/>
  <c r="BB115" i="1"/>
  <c r="AW115" i="1"/>
  <c r="BB114" i="1"/>
  <c r="AW114" i="1"/>
  <c r="BB113" i="1"/>
  <c r="AW113" i="1"/>
  <c r="D102" i="1"/>
  <c r="Z101" i="1"/>
  <c r="U101" i="1"/>
  <c r="Z100" i="1"/>
  <c r="U100" i="1"/>
  <c r="Z99" i="1"/>
  <c r="U99" i="1"/>
  <c r="Z98" i="1"/>
  <c r="U98" i="1"/>
  <c r="Z97" i="1"/>
  <c r="U97" i="1"/>
  <c r="Z96" i="1"/>
  <c r="U96" i="1"/>
  <c r="Z102" i="1"/>
  <c r="U103" i="1"/>
  <c r="Z103" i="1"/>
  <c r="U102" i="1"/>
  <c r="Z13" i="1"/>
  <c r="U13" i="1"/>
  <c r="Z12" i="1"/>
  <c r="U12" i="1"/>
  <c r="Z11" i="1"/>
  <c r="U11" i="1"/>
  <c r="AM120" i="1"/>
  <c r="AH120" i="1"/>
  <c r="AC120" i="1"/>
  <c r="AM119" i="1"/>
  <c r="AH119" i="1"/>
  <c r="AC119" i="1"/>
  <c r="AR118" i="1"/>
  <c r="AM118" i="1"/>
  <c r="AR117" i="1"/>
  <c r="AM117" i="1"/>
  <c r="AR116" i="1"/>
  <c r="AM116" i="1"/>
  <c r="AR115" i="1"/>
  <c r="AM115" i="1"/>
  <c r="AR114" i="1"/>
  <c r="AM114" i="1"/>
  <c r="AR113" i="1"/>
  <c r="AM113" i="1"/>
  <c r="D121" i="1"/>
  <c r="X120" i="1"/>
  <c r="S120" i="1"/>
  <c r="N120" i="1"/>
  <c r="X119" i="1"/>
  <c r="S119" i="1"/>
  <c r="N119" i="1"/>
  <c r="AH118" i="1"/>
  <c r="AC118" i="1"/>
  <c r="X118" i="1"/>
  <c r="S118" i="1"/>
  <c r="N118" i="1"/>
  <c r="I118" i="1"/>
  <c r="AH117" i="1"/>
  <c r="AC117" i="1"/>
  <c r="X117" i="1"/>
  <c r="S117" i="1"/>
  <c r="N117" i="1"/>
  <c r="I117" i="1"/>
  <c r="AH116" i="1"/>
  <c r="AC116" i="1"/>
  <c r="X116" i="1"/>
  <c r="S116" i="1"/>
  <c r="N116" i="1"/>
  <c r="I116" i="1"/>
  <c r="AH115" i="1"/>
  <c r="AC115" i="1"/>
  <c r="X115" i="1"/>
  <c r="S115" i="1"/>
  <c r="N115" i="1"/>
  <c r="I115" i="1"/>
  <c r="AH114" i="1"/>
  <c r="AC114" i="1"/>
  <c r="X114" i="1"/>
  <c r="S114" i="1"/>
  <c r="N114" i="1"/>
  <c r="I114" i="1"/>
  <c r="AH113" i="1"/>
  <c r="AC113" i="1"/>
  <c r="X113" i="1"/>
  <c r="S113" i="1"/>
  <c r="N113" i="1"/>
  <c r="I113" i="1"/>
  <c r="BB112" i="1"/>
  <c r="AW112" i="1"/>
  <c r="AR112" i="1"/>
  <c r="AM112" i="1"/>
  <c r="AH112" i="1"/>
  <c r="AC112" i="1"/>
  <c r="X112" i="1"/>
  <c r="S112" i="1"/>
  <c r="N112" i="1"/>
  <c r="I112" i="1"/>
  <c r="BB111" i="1"/>
  <c r="AW111" i="1"/>
  <c r="AR111" i="1"/>
  <c r="AM111" i="1"/>
  <c r="AH111" i="1"/>
  <c r="AC111" i="1"/>
  <c r="X111" i="1"/>
  <c r="S111" i="1"/>
  <c r="N111" i="1"/>
  <c r="I111" i="1"/>
  <c r="BB110" i="1"/>
  <c r="AW110" i="1"/>
  <c r="AR110" i="1"/>
  <c r="AM110" i="1"/>
  <c r="AH110" i="1"/>
  <c r="AC110" i="1"/>
  <c r="X110" i="1"/>
  <c r="S110" i="1"/>
  <c r="N110" i="1"/>
  <c r="I110" i="1"/>
  <c r="BB109" i="1"/>
  <c r="AW109" i="1"/>
  <c r="AR109" i="1"/>
  <c r="AM109" i="1"/>
  <c r="AH109" i="1"/>
  <c r="AC109" i="1"/>
  <c r="X109" i="1"/>
  <c r="S109" i="1"/>
  <c r="N109" i="1"/>
  <c r="I109" i="1"/>
  <c r="BB108" i="1"/>
  <c r="AW108" i="1"/>
  <c r="AR108" i="1"/>
  <c r="AM108" i="1"/>
  <c r="AH108" i="1"/>
  <c r="AC108" i="1"/>
  <c r="X108" i="1"/>
  <c r="S108" i="1"/>
  <c r="N108" i="1"/>
  <c r="I108" i="1"/>
  <c r="BB107" i="1"/>
  <c r="AW107" i="1"/>
  <c r="AR107" i="1"/>
  <c r="AM107" i="1"/>
  <c r="AH107" i="1"/>
  <c r="AC107" i="1"/>
  <c r="X107" i="1"/>
  <c r="S107" i="1"/>
  <c r="N107" i="1"/>
  <c r="I107" i="1"/>
  <c r="Z92" i="1"/>
  <c r="U92" i="1"/>
  <c r="Z91" i="1"/>
  <c r="U91" i="1"/>
  <c r="Z90" i="1"/>
  <c r="U90" i="1"/>
  <c r="Z89" i="1"/>
  <c r="U89" i="1"/>
  <c r="Z88" i="1"/>
  <c r="U88" i="1"/>
  <c r="Z87" i="1"/>
  <c r="U87" i="1"/>
  <c r="Z83" i="1"/>
  <c r="U83" i="1"/>
  <c r="Z82" i="1"/>
  <c r="U82" i="1"/>
  <c r="Z81" i="1"/>
  <c r="U81" i="1"/>
  <c r="Z80" i="1"/>
  <c r="U80" i="1"/>
  <c r="Z79" i="1"/>
  <c r="U79" i="1"/>
  <c r="Z78" i="1"/>
  <c r="U78" i="1"/>
  <c r="D84" i="1"/>
  <c r="Z74" i="1"/>
  <c r="U74" i="1"/>
  <c r="Z73" i="1"/>
  <c r="U73" i="1"/>
  <c r="Z72" i="1"/>
  <c r="U72" i="1"/>
  <c r="Z71" i="1"/>
  <c r="U71" i="1"/>
  <c r="Z70" i="1"/>
  <c r="U70" i="1"/>
  <c r="Z69" i="1"/>
  <c r="U69" i="1"/>
  <c r="Z65" i="1"/>
  <c r="U65" i="1"/>
  <c r="Z64" i="1"/>
  <c r="U64" i="1"/>
  <c r="Z63" i="1"/>
  <c r="U63" i="1"/>
  <c r="Z62" i="1"/>
  <c r="U62" i="1"/>
  <c r="Z61" i="1"/>
  <c r="U61" i="1"/>
  <c r="Z60" i="1"/>
  <c r="U60" i="1"/>
  <c r="Z59" i="1"/>
  <c r="U59" i="1"/>
  <c r="Z58" i="1"/>
  <c r="U58" i="1"/>
  <c r="Z57" i="1"/>
  <c r="U57" i="1"/>
  <c r="Z56" i="1"/>
  <c r="U56" i="1"/>
  <c r="Z55" i="1"/>
  <c r="U55" i="1"/>
  <c r="Z51" i="1"/>
  <c r="U51" i="1"/>
  <c r="Z50" i="1"/>
  <c r="U50" i="1"/>
  <c r="Z49" i="1"/>
  <c r="U49" i="1"/>
  <c r="Z48" i="1"/>
  <c r="U48" i="1"/>
  <c r="Z47" i="1"/>
  <c r="U47" i="1"/>
  <c r="Z46" i="1"/>
  <c r="U46" i="1"/>
  <c r="Z42" i="1"/>
  <c r="U42" i="1"/>
  <c r="Z41" i="1"/>
  <c r="U41" i="1"/>
  <c r="Z40" i="1"/>
  <c r="U40" i="1"/>
  <c r="Z39" i="1"/>
  <c r="U39" i="1"/>
  <c r="Z38" i="1"/>
  <c r="U38" i="1"/>
  <c r="Z37" i="1"/>
  <c r="U37" i="1"/>
  <c r="Z33" i="1"/>
  <c r="U33" i="1"/>
  <c r="Z32" i="1"/>
  <c r="U32" i="1"/>
  <c r="Z31" i="1"/>
  <c r="U31" i="1"/>
  <c r="Z30" i="1"/>
  <c r="U30" i="1"/>
  <c r="Z29" i="1"/>
  <c r="U29" i="1"/>
  <c r="D34" i="1"/>
  <c r="Z28" i="1"/>
  <c r="U28" i="1"/>
  <c r="Z24" i="1"/>
  <c r="U24" i="1"/>
  <c r="Z23" i="1"/>
  <c r="U23" i="1"/>
  <c r="Z22" i="1"/>
  <c r="U22" i="1"/>
  <c r="Z21" i="1"/>
  <c r="U21" i="1"/>
  <c r="Z20" i="1"/>
  <c r="U20" i="1"/>
  <c r="Z19" i="1"/>
  <c r="U19" i="1"/>
  <c r="Z18" i="1"/>
  <c r="U18" i="1"/>
  <c r="Z17" i="1"/>
  <c r="U17" i="1"/>
  <c r="Z10" i="1"/>
  <c r="U10" i="1"/>
  <c r="Z9" i="1"/>
  <c r="U9" i="1"/>
  <c r="Z8" i="1"/>
  <c r="U8" i="1"/>
  <c r="Z7" i="1"/>
  <c r="U7" i="1"/>
  <c r="Z6" i="1"/>
  <c r="U6" i="1"/>
  <c r="Z5" i="1"/>
  <c r="U5" i="1"/>
  <c r="Z14" i="1"/>
  <c r="N122" i="1"/>
  <c r="U52" i="1"/>
  <c r="U75" i="1"/>
  <c r="I121" i="1"/>
  <c r="AW121" i="1"/>
  <c r="U14" i="1"/>
  <c r="Z53" i="1"/>
  <c r="Z85" i="1"/>
  <c r="X121" i="1"/>
  <c r="U84" i="1"/>
  <c r="Z15" i="1"/>
  <c r="U35" i="1"/>
  <c r="U15" i="1"/>
  <c r="Z94" i="1"/>
  <c r="U34" i="1"/>
  <c r="U44" i="1"/>
  <c r="U66" i="1"/>
  <c r="D25" i="1"/>
  <c r="U26" i="1"/>
  <c r="Z43" i="1"/>
  <c r="X122" i="1"/>
  <c r="U53" i="1"/>
  <c r="Z35" i="1"/>
  <c r="Z66" i="1"/>
  <c r="Z84" i="1"/>
  <c r="Z26" i="1"/>
  <c r="U93" i="1"/>
  <c r="U43" i="1"/>
  <c r="Z67" i="1"/>
  <c r="Z76" i="1"/>
  <c r="S122" i="1"/>
  <c r="I122" i="1"/>
  <c r="AW122" i="1"/>
  <c r="Z75" i="1"/>
  <c r="D66" i="1"/>
  <c r="U67" i="1"/>
  <c r="U94" i="1"/>
  <c r="Z44" i="1"/>
  <c r="D14" i="1"/>
  <c r="D43" i="1"/>
  <c r="D93" i="1"/>
  <c r="D52" i="1"/>
  <c r="D75" i="1"/>
  <c r="U76" i="1"/>
  <c r="N121" i="1"/>
  <c r="BB121" i="1"/>
  <c r="BB122" i="1"/>
  <c r="U25" i="1"/>
  <c r="AH121" i="1"/>
  <c r="AC121" i="1"/>
  <c r="AC122" i="1"/>
  <c r="AR121" i="1"/>
  <c r="AR122" i="1"/>
  <c r="AM121" i="1"/>
  <c r="AM122" i="1"/>
  <c r="S121" i="1"/>
  <c r="Z52" i="1"/>
  <c r="AH122" i="1"/>
  <c r="Z93" i="1"/>
  <c r="U85" i="1"/>
  <c r="Z25" i="1"/>
  <c r="Z34" i="1"/>
</calcChain>
</file>

<file path=xl/sharedStrings.xml><?xml version="1.0" encoding="utf-8"?>
<sst xmlns="http://schemas.openxmlformats.org/spreadsheetml/2006/main" count="417" uniqueCount="228">
  <si>
    <t>Date of Rehydration</t>
  </si>
  <si>
    <t>5 min</t>
  </si>
  <si>
    <t>30 min</t>
  </si>
  <si>
    <t>2 h</t>
  </si>
  <si>
    <t>24 h</t>
  </si>
  <si>
    <t>48 h</t>
  </si>
  <si>
    <t>.</t>
  </si>
  <si>
    <t>A+</t>
  </si>
  <si>
    <t>A</t>
  </si>
  <si>
    <t>I</t>
  </si>
  <si>
    <t>D</t>
  </si>
  <si>
    <t>sum</t>
  </si>
  <si>
    <t>Sum</t>
  </si>
  <si>
    <t>Filterpaper SW</t>
  </si>
  <si>
    <t>2h</t>
  </si>
  <si>
    <t>TH-FP-2-001</t>
  </si>
  <si>
    <t>TH-FP-2-002</t>
  </si>
  <si>
    <t>TH-FP-2-003</t>
  </si>
  <si>
    <t>TH-FP-2-004</t>
  </si>
  <si>
    <t>TH-FP-2-005</t>
  </si>
  <si>
    <t>TH-FP-2-006</t>
  </si>
  <si>
    <t>Average</t>
  </si>
  <si>
    <t>24h</t>
  </si>
  <si>
    <t>TH-FP-24-001</t>
  </si>
  <si>
    <t>TH-FP-24-002</t>
  </si>
  <si>
    <t>TH-FP-24-003</t>
  </si>
  <si>
    <t>TH-FP-24-004</t>
  </si>
  <si>
    <t>TH-FP-24-005</t>
  </si>
  <si>
    <t>TH-FP-24-006</t>
  </si>
  <si>
    <t>TH-FP-24-007</t>
  </si>
  <si>
    <t>TH-FP-24-008</t>
  </si>
  <si>
    <t>48h</t>
  </si>
  <si>
    <t>TH-FP-48-001</t>
  </si>
  <si>
    <t>TH-FP-48-002</t>
  </si>
  <si>
    <t>TH-FP-48-003</t>
  </si>
  <si>
    <t>TH-FP-48-004</t>
  </si>
  <si>
    <t>TH-FP-48-005</t>
  </si>
  <si>
    <t>TH-FP-48-006</t>
  </si>
  <si>
    <t>1w</t>
  </si>
  <si>
    <t>TH-FP-1w-001</t>
  </si>
  <si>
    <t>TH-FP-1w-002</t>
  </si>
  <si>
    <t>TH-FP-1w-003</t>
  </si>
  <si>
    <t>TH-FP-1w-004</t>
  </si>
  <si>
    <t>TH-FP-1w-005</t>
  </si>
  <si>
    <t>TH-FP-1w-006</t>
  </si>
  <si>
    <t>2w</t>
  </si>
  <si>
    <t>TH-FP-2w-001</t>
  </si>
  <si>
    <t>TH-FP-2w-002</t>
  </si>
  <si>
    <t>TH-FP-2w-003</t>
  </si>
  <si>
    <t>TH-FP-2w-004</t>
  </si>
  <si>
    <t>TH-FP-2w-005</t>
  </si>
  <si>
    <t>TH-FP-2w-006</t>
  </si>
  <si>
    <t>4w</t>
  </si>
  <si>
    <t>TH-FP-4w-001</t>
  </si>
  <si>
    <t>TH-FP-4w-002</t>
  </si>
  <si>
    <t>TH-FP-4w-003</t>
  </si>
  <si>
    <t>TH-FP-4w-004</t>
  </si>
  <si>
    <t>TH-FP-4w-005</t>
  </si>
  <si>
    <t>TH-FP-4w-006</t>
  </si>
  <si>
    <t>TH-FP-4w-007</t>
  </si>
  <si>
    <t>TH-FP-4w-008</t>
  </si>
  <si>
    <t>TH-FP-4w-009</t>
  </si>
  <si>
    <t>TH-FP-4w-010</t>
  </si>
  <si>
    <t>TH-FP-4w-011</t>
  </si>
  <si>
    <t>8w</t>
  </si>
  <si>
    <t>TH-FP-8w-001</t>
  </si>
  <si>
    <t>TH-FP-8w-002</t>
  </si>
  <si>
    <t>TH-FP-8w-003</t>
  </si>
  <si>
    <t>TH-FP-8w-004</t>
  </si>
  <si>
    <t>TH-FP-8w-005</t>
  </si>
  <si>
    <t>TH-FP-8w-006</t>
  </si>
  <si>
    <t>12w</t>
  </si>
  <si>
    <t>TH-FP-12w-001</t>
  </si>
  <si>
    <t>TH-FP-12w-002</t>
  </si>
  <si>
    <t>TH-FP-12w-003</t>
  </si>
  <si>
    <t>TH-FP-12w-004</t>
  </si>
  <si>
    <t>TH-FP-12w-005</t>
  </si>
  <si>
    <t>TH-FP-12w-006</t>
  </si>
  <si>
    <t>9 mth</t>
  </si>
  <si>
    <t>TH-FP-9m-001</t>
  </si>
  <si>
    <t>TH-FP-9m-002</t>
  </si>
  <si>
    <t>TH-FP-9m-003</t>
  </si>
  <si>
    <t>TH-FP-9m-004</t>
  </si>
  <si>
    <t>TH-FP-9m-005</t>
  </si>
  <si>
    <t>TH-FP-9m-006</t>
  </si>
  <si>
    <t>0d</t>
  </si>
  <si>
    <t>1d</t>
  </si>
  <si>
    <t>2d</t>
  </si>
  <si>
    <t>3d</t>
  </si>
  <si>
    <t>4d</t>
  </si>
  <si>
    <t>3w</t>
  </si>
  <si>
    <t>5w</t>
  </si>
  <si>
    <t>TH-SW-Kon-001</t>
  </si>
  <si>
    <t>TH-SW-Kon-002</t>
  </si>
  <si>
    <t>TH-SW-Kon-003</t>
  </si>
  <si>
    <t>TH-SW-Kon-004</t>
  </si>
  <si>
    <t>TH-SW-Kon-005</t>
  </si>
  <si>
    <t>TH-SW-Kon-006</t>
  </si>
  <si>
    <t>TH-SW-Kon-007</t>
  </si>
  <si>
    <t>TH-SW-Kon-008</t>
  </si>
  <si>
    <t>TH-SW-Kon-009</t>
  </si>
  <si>
    <t>TH-SW-Kon-010</t>
  </si>
  <si>
    <t>TH-SW-Kon-011</t>
  </si>
  <si>
    <t>TH-SW-Kon-012</t>
  </si>
  <si>
    <t>TH-SW-Kon-013</t>
  </si>
  <si>
    <t>TH-SW-Kon-014</t>
  </si>
  <si>
    <t>TH-FP-2-007</t>
  </si>
  <si>
    <t>TH-FP-2-008</t>
  </si>
  <si>
    <t>TH-FP-2-009</t>
  </si>
  <si>
    <t>12 mth</t>
  </si>
  <si>
    <t>TH-FP-12-001</t>
  </si>
  <si>
    <t>TH-FP-12-002</t>
  </si>
  <si>
    <t>TH-FP-12-003</t>
  </si>
  <si>
    <t>TH-FP-12-004</t>
  </si>
  <si>
    <t>TH-FP-12-005</t>
  </si>
  <si>
    <t>TH-FP-12-006</t>
  </si>
  <si>
    <t>6w</t>
  </si>
  <si>
    <t>Controls</t>
  </si>
  <si>
    <t>desiccation on glass</t>
  </si>
  <si>
    <r>
      <t>0,1</t>
    </r>
    <r>
      <rPr>
        <b/>
        <sz val="11"/>
        <color rgb="FF000000"/>
        <rFont val="Calibri"/>
        <family val="2"/>
      </rPr>
      <t>µ</t>
    </r>
    <r>
      <rPr>
        <b/>
        <sz val="11"/>
        <color rgb="FF000000"/>
        <rFont val="Calibri"/>
        <family val="2"/>
        <charset val="1"/>
      </rPr>
      <t>l 2h</t>
    </r>
  </si>
  <si>
    <r>
      <t>0,1</t>
    </r>
    <r>
      <rPr>
        <b/>
        <sz val="11"/>
        <color rgb="FF000000"/>
        <rFont val="Calibri"/>
        <family val="2"/>
      </rPr>
      <t>µ</t>
    </r>
    <r>
      <rPr>
        <b/>
        <sz val="11"/>
        <color rgb="FF000000"/>
        <rFont val="Calibri"/>
        <family val="2"/>
        <charset val="1"/>
      </rPr>
      <t>l 24h</t>
    </r>
  </si>
  <si>
    <r>
      <t>10</t>
    </r>
    <r>
      <rPr>
        <b/>
        <sz val="11"/>
        <color rgb="FF000000"/>
        <rFont val="Calibri"/>
        <family val="2"/>
      </rPr>
      <t>µ</t>
    </r>
    <r>
      <rPr>
        <b/>
        <sz val="11"/>
        <color rgb="FF000000"/>
        <rFont val="Calibri"/>
        <family val="2"/>
        <charset val="1"/>
      </rPr>
      <t>l 24h</t>
    </r>
  </si>
  <si>
    <t>TH-G-10-24-001</t>
  </si>
  <si>
    <t>TH-G-10-24-002</t>
  </si>
  <si>
    <t>TH-G-10-24-003</t>
  </si>
  <si>
    <t>TH-G-0,1-02-001</t>
  </si>
  <si>
    <t>TH-G-0,1-02-002</t>
  </si>
  <si>
    <t>TH-G-0,1-02-003</t>
  </si>
  <si>
    <t>TH-G-0,1-24-001</t>
  </si>
  <si>
    <t>TH-G-0,1-24-002</t>
  </si>
  <si>
    <t>TH-G-0,1-24-003</t>
  </si>
  <si>
    <r>
      <t>1</t>
    </r>
    <r>
      <rPr>
        <b/>
        <sz val="11"/>
        <color rgb="FF000000"/>
        <rFont val="Calibri"/>
        <family val="2"/>
      </rPr>
      <t>µ</t>
    </r>
    <r>
      <rPr>
        <b/>
        <sz val="11"/>
        <color rgb="FF000000"/>
        <rFont val="Calibri"/>
        <family val="2"/>
        <charset val="1"/>
      </rPr>
      <t>l 24h</t>
    </r>
  </si>
  <si>
    <r>
      <t>0,1</t>
    </r>
    <r>
      <rPr>
        <b/>
        <sz val="11"/>
        <color rgb="FF000000"/>
        <rFont val="Calibri"/>
        <family val="2"/>
      </rPr>
      <t>µ</t>
    </r>
    <r>
      <rPr>
        <b/>
        <sz val="11"/>
        <color rgb="FF000000"/>
        <rFont val="Calibri"/>
        <family val="2"/>
        <charset val="1"/>
      </rPr>
      <t>l 48h</t>
    </r>
  </si>
  <si>
    <r>
      <t>1</t>
    </r>
    <r>
      <rPr>
        <b/>
        <sz val="11"/>
        <color rgb="FF000000"/>
        <rFont val="Calibri"/>
        <family val="2"/>
      </rPr>
      <t>µ</t>
    </r>
    <r>
      <rPr>
        <b/>
        <sz val="11"/>
        <color rgb="FF000000"/>
        <rFont val="Calibri"/>
        <family val="2"/>
        <charset val="1"/>
      </rPr>
      <t>l 48h</t>
    </r>
  </si>
  <si>
    <r>
      <t>10</t>
    </r>
    <r>
      <rPr>
        <b/>
        <sz val="11"/>
        <color rgb="FF000000"/>
        <rFont val="Calibri"/>
        <family val="2"/>
      </rPr>
      <t>µ</t>
    </r>
    <r>
      <rPr>
        <b/>
        <sz val="11"/>
        <color rgb="FF000000"/>
        <rFont val="Calibri"/>
        <family val="2"/>
        <charset val="1"/>
      </rPr>
      <t>l 48h</t>
    </r>
  </si>
  <si>
    <t>TH-G-0,1-48-002</t>
  </si>
  <si>
    <t>TH-G-0,1-48-003</t>
  </si>
  <si>
    <t>TH-G-1-48-004</t>
  </si>
  <si>
    <t>TH-G-1-48-005</t>
  </si>
  <si>
    <t>TH-G-10-48-002</t>
  </si>
  <si>
    <t>TH-0,1-24-004</t>
  </si>
  <si>
    <t>TH-0,1-24-005</t>
  </si>
  <si>
    <t>TH-0,1-24-006</t>
  </si>
  <si>
    <r>
      <t>10</t>
    </r>
    <r>
      <rPr>
        <b/>
        <sz val="11"/>
        <color rgb="FF000000"/>
        <rFont val="Calibri"/>
        <family val="2"/>
      </rPr>
      <t>µ</t>
    </r>
    <r>
      <rPr>
        <b/>
        <sz val="11"/>
        <color rgb="FF000000"/>
        <rFont val="Calibri"/>
        <family val="2"/>
        <charset val="1"/>
      </rPr>
      <t>l 2h</t>
    </r>
  </si>
  <si>
    <t>TH-G-10-02-001</t>
  </si>
  <si>
    <t>TH-G-10-02-002</t>
  </si>
  <si>
    <t>TH-G-10-02-003</t>
  </si>
  <si>
    <t>TH-G-10-02-004</t>
  </si>
  <si>
    <t>TH-G-10-02-005</t>
  </si>
  <si>
    <t>TH-G-10-24-004</t>
  </si>
  <si>
    <t>TH-G-10-24-006</t>
  </si>
  <si>
    <t>TH-G-1-24-003</t>
  </si>
  <si>
    <t>TH-G-1-24-005</t>
  </si>
  <si>
    <t>TH-G-1-02-006</t>
  </si>
  <si>
    <r>
      <t>1</t>
    </r>
    <r>
      <rPr>
        <b/>
        <sz val="11"/>
        <color rgb="FF000000"/>
        <rFont val="Calibri"/>
        <family val="2"/>
      </rPr>
      <t>µ</t>
    </r>
    <r>
      <rPr>
        <b/>
        <sz val="11"/>
        <color rgb="FF000000"/>
        <rFont val="Calibri"/>
        <family val="2"/>
        <charset val="1"/>
      </rPr>
      <t>l 2h</t>
    </r>
  </si>
  <si>
    <t>TH-G-0,1-02-004</t>
  </si>
  <si>
    <t>TH-G-0,1-02-005</t>
  </si>
  <si>
    <t>TH-G-0,1-02-006</t>
  </si>
  <si>
    <t>TH-G-0,1-02-007</t>
  </si>
  <si>
    <t>TH-G-0,1-2w-001</t>
  </si>
  <si>
    <t>TH-G-0,1-2w-002</t>
  </si>
  <si>
    <t>TH-G-0,1-2w-003</t>
  </si>
  <si>
    <t>TH-G-0,1-2w-004</t>
  </si>
  <si>
    <t>TH-G-0,1-2w-005</t>
  </si>
  <si>
    <t>TH-G-0,1-2w-006</t>
  </si>
  <si>
    <r>
      <t>0,1</t>
    </r>
    <r>
      <rPr>
        <b/>
        <sz val="11"/>
        <color rgb="FF000000"/>
        <rFont val="Calibri"/>
        <family val="2"/>
      </rPr>
      <t>µ</t>
    </r>
    <r>
      <rPr>
        <b/>
        <sz val="11"/>
        <color rgb="FF000000"/>
        <rFont val="Calibri"/>
        <family val="2"/>
        <charset val="1"/>
      </rPr>
      <t>l 2w</t>
    </r>
  </si>
  <si>
    <r>
      <t>1</t>
    </r>
    <r>
      <rPr>
        <b/>
        <sz val="11"/>
        <color rgb="FF000000"/>
        <rFont val="Calibri"/>
        <family val="2"/>
      </rPr>
      <t>µ</t>
    </r>
    <r>
      <rPr>
        <b/>
        <sz val="11"/>
        <color rgb="FF000000"/>
        <rFont val="Calibri"/>
        <family val="2"/>
        <charset val="1"/>
      </rPr>
      <t>l 2w</t>
    </r>
  </si>
  <si>
    <r>
      <t>10</t>
    </r>
    <r>
      <rPr>
        <b/>
        <sz val="11"/>
        <color rgb="FF000000"/>
        <rFont val="Calibri"/>
        <family val="2"/>
      </rPr>
      <t>µ</t>
    </r>
    <r>
      <rPr>
        <b/>
        <sz val="11"/>
        <color rgb="FF000000"/>
        <rFont val="Calibri"/>
        <family val="2"/>
        <charset val="1"/>
      </rPr>
      <t>l 2w</t>
    </r>
  </si>
  <si>
    <t>TH-G-10-2w-001</t>
  </si>
  <si>
    <t>TH-G-10-2w-002</t>
  </si>
  <si>
    <t>TH-G-10-2w-003</t>
  </si>
  <si>
    <t>TH-G-1-2w-001</t>
  </si>
  <si>
    <t>TH-G-1-2w-002</t>
  </si>
  <si>
    <t>TH-G-1-2w-003</t>
  </si>
  <si>
    <t>TH-G-1-48-006</t>
  </si>
  <si>
    <t>TH-G-1-48-007</t>
  </si>
  <si>
    <t>TH-G-1-48-008</t>
  </si>
  <si>
    <t>TH-G-1-02-007</t>
  </si>
  <si>
    <t>TH-G-1-02-008</t>
  </si>
  <si>
    <t>TH-G-1-02-009</t>
  </si>
  <si>
    <t>TH-G-0,1-48-004</t>
  </si>
  <si>
    <t>TH-G-0,1-48-005</t>
  </si>
  <si>
    <t>TH-G-0,1-48-006</t>
  </si>
  <si>
    <t>TH-G-0,1-48-007</t>
  </si>
  <si>
    <t>TH-G-10-02-006</t>
  </si>
  <si>
    <t>TH-G-1-24-006</t>
  </si>
  <si>
    <t>TH-G-1-24-007</t>
  </si>
  <si>
    <t>TH-G-10-24-007</t>
  </si>
  <si>
    <t>TH-G-1-24-008</t>
  </si>
  <si>
    <t>TH-G-1-24-009</t>
  </si>
  <si>
    <t>TH-G-1-48-009</t>
  </si>
  <si>
    <t>TH-G-1-48-010</t>
  </si>
  <si>
    <t>TH-G-1-48-011</t>
  </si>
  <si>
    <t>TH-G-1-48-012</t>
  </si>
  <si>
    <t>TH-G-10-48-004</t>
  </si>
  <si>
    <t>TH-G-10-48-005</t>
  </si>
  <si>
    <t>TH-G-10-48-006</t>
  </si>
  <si>
    <t>TH-G-0,1-48-008</t>
  </si>
  <si>
    <t>desiccation on hedgehog spines</t>
  </si>
  <si>
    <t>TH-FP-PP-48-001</t>
  </si>
  <si>
    <t>TH-FP-PP-48-002</t>
  </si>
  <si>
    <t>TH-FP-PP-48-003</t>
  </si>
  <si>
    <t>TH-FP-PP-48-004</t>
  </si>
  <si>
    <t>TH-FP-PP-24-001</t>
  </si>
  <si>
    <t>TH-FP-PP-24-002</t>
  </si>
  <si>
    <t>TH-FP-PP-24-003</t>
  </si>
  <si>
    <t>TH-FP-PP-24-004</t>
  </si>
  <si>
    <t>TH-FP-PP-24-005</t>
  </si>
  <si>
    <t>TH-FP-PP-2-001</t>
  </si>
  <si>
    <t>TH-FP-PP-2-002</t>
  </si>
  <si>
    <t>TH-FP-PP-48-005</t>
  </si>
  <si>
    <t>TH-FP-PP-48-006</t>
  </si>
  <si>
    <t>TH-FP-PP-48-007</t>
  </si>
  <si>
    <t>Comments</t>
  </si>
  <si>
    <t>Discarded due to excessive loss of animals.</t>
  </si>
  <si>
    <t>Replicate was lost during storage.</t>
  </si>
  <si>
    <t xml:space="preserve">Many animals lost between 24h and 48h. </t>
  </si>
  <si>
    <t xml:space="preserve">Watchglass partially fallen over, with resulting water spill. Animals likely to have been lost due to this. </t>
  </si>
  <si>
    <t xml:space="preserve">Changed SW after 24h hours. </t>
  </si>
  <si>
    <t>Desiccation time illegible</t>
  </si>
  <si>
    <t>Desiccation time</t>
  </si>
  <si>
    <t>Discarded due to lack of information in protocol</t>
  </si>
  <si>
    <t xml:space="preserve">Comment from protocol: "sampling material possibly to old". </t>
  </si>
  <si>
    <t>1 animal discarded (punctured by mistake at 24h)</t>
  </si>
  <si>
    <t>1 animal discarded (punctured by mistake at 5 min.)</t>
  </si>
  <si>
    <t>1 animal discarded (punctured by mistake at 48h)</t>
  </si>
  <si>
    <t>2 animals discarded (punctured by mistake at 24h)</t>
  </si>
  <si>
    <t>1 animal discarded (punctured by mistake at 2h)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</si>
</sst>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DD9C3"/>
        <bgColor rgb="FFFFCC99"/>
      </patternFill>
    </fill>
    <fill>
      <patternFill patternType="solid">
        <fgColor rgb="FFC4BD97"/>
        <bgColor rgb="FFDDD9C3"/>
      </patternFill>
    </fill>
    <fill>
      <patternFill patternType="solid">
        <fgColor rgb="FFFF0000"/>
        <bgColor rgb="FF993300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Border="1"/>
    <xf numFmtId="0" fontId="1" fillId="0" borderId="2" xfId="0" applyFont="1" applyBorder="1"/>
    <xf numFmtId="0" fontId="2" fillId="0" borderId="3" xfId="0" applyFont="1" applyBorder="1"/>
    <xf numFmtId="0" fontId="0" fillId="0" borderId="4" xfId="0" applyBorder="1"/>
    <xf numFmtId="0" fontId="1" fillId="0" borderId="0" xfId="0" applyFont="1" applyBorder="1"/>
    <xf numFmtId="0" fontId="2" fillId="0" borderId="4" xfId="0" applyFont="1" applyBorder="1"/>
    <xf numFmtId="0" fontId="2" fillId="0" borderId="0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0" xfId="0" applyFont="1"/>
    <xf numFmtId="14" fontId="0" fillId="0" borderId="0" xfId="0" applyNumberFormat="1"/>
    <xf numFmtId="0" fontId="0" fillId="0" borderId="0" xfId="0"/>
    <xf numFmtId="0" fontId="0" fillId="0" borderId="0" xfId="0" applyBorder="1"/>
    <xf numFmtId="0" fontId="0" fillId="2" borderId="4" xfId="0" applyFont="1" applyFill="1" applyBorder="1"/>
    <xf numFmtId="0" fontId="0" fillId="2" borderId="0" xfId="0" applyFill="1"/>
    <xf numFmtId="0" fontId="0" fillId="2" borderId="0" xfId="0" applyFill="1" applyBorder="1"/>
    <xf numFmtId="0" fontId="0" fillId="3" borderId="4" xfId="0" applyFont="1" applyFill="1" applyBorder="1"/>
    <xf numFmtId="0" fontId="0" fillId="3" borderId="0" xfId="0" applyFill="1"/>
    <xf numFmtId="0" fontId="0" fillId="3" borderId="6" xfId="0" applyFill="1" applyBorder="1"/>
    <xf numFmtId="0" fontId="0" fillId="3" borderId="0" xfId="0" applyFill="1" applyBorder="1"/>
    <xf numFmtId="0" fontId="0" fillId="0" borderId="7" xfId="0" applyBorder="1"/>
    <xf numFmtId="0" fontId="1" fillId="0" borderId="8" xfId="0" applyFont="1" applyBorder="1"/>
    <xf numFmtId="0" fontId="0" fillId="0" borderId="8" xfId="0" applyBorder="1"/>
    <xf numFmtId="0" fontId="0" fillId="0" borderId="5" xfId="0" applyBorder="1"/>
    <xf numFmtId="0" fontId="0" fillId="0" borderId="0" xfId="0" applyFont="1" applyBorder="1"/>
    <xf numFmtId="0" fontId="3" fillId="4" borderId="4" xfId="0" applyFont="1" applyFill="1" applyBorder="1"/>
    <xf numFmtId="0" fontId="3" fillId="4" borderId="0" xfId="0" applyFont="1" applyFill="1"/>
    <xf numFmtId="0" fontId="3" fillId="4" borderId="0" xfId="0" applyFont="1" applyFill="1" applyBorder="1"/>
    <xf numFmtId="14" fontId="0" fillId="0" borderId="0" xfId="0" applyNumberFormat="1" applyBorder="1"/>
    <xf numFmtId="0" fontId="0" fillId="0" borderId="4" xfId="0" applyFont="1" applyBorder="1"/>
    <xf numFmtId="0" fontId="0" fillId="0" borderId="0" xfId="0"/>
    <xf numFmtId="0" fontId="0" fillId="0" borderId="6" xfId="0" applyBorder="1"/>
    <xf numFmtId="0" fontId="0" fillId="0" borderId="9" xfId="0" applyBorder="1"/>
    <xf numFmtId="0" fontId="0" fillId="2" borderId="6" xfId="0" applyFill="1" applyBorder="1"/>
    <xf numFmtId="0" fontId="0" fillId="3" borderId="3" xfId="0" applyFill="1" applyBorder="1"/>
    <xf numFmtId="0" fontId="0" fillId="4" borderId="0" xfId="0" applyFont="1" applyFill="1"/>
    <xf numFmtId="14" fontId="0" fillId="4" borderId="0" xfId="0" applyNumberFormat="1" applyFill="1"/>
    <xf numFmtId="0" fontId="0" fillId="4" borderId="4" xfId="0" applyFont="1" applyFill="1" applyBorder="1"/>
    <xf numFmtId="0" fontId="0" fillId="4" borderId="0" xfId="0" applyFill="1" applyBorder="1"/>
    <xf numFmtId="0" fontId="2" fillId="0" borderId="5" xfId="0" applyFont="1" applyBorder="1"/>
    <xf numFmtId="0" fontId="0" fillId="0" borderId="6" xfId="0" applyBorder="1"/>
    <xf numFmtId="0" fontId="0" fillId="0" borderId="4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0" fillId="5" borderId="0" xfId="0" applyFill="1"/>
    <xf numFmtId="0" fontId="0" fillId="5" borderId="0" xfId="0" applyFill="1" applyBorder="1"/>
    <xf numFmtId="0" fontId="0" fillId="4" borderId="6" xfId="0" applyFont="1" applyFill="1" applyBorder="1"/>
    <xf numFmtId="0" fontId="0" fillId="0" borderId="0" xfId="0" applyFont="1" applyFill="1"/>
    <xf numFmtId="14" fontId="0" fillId="0" borderId="0" xfId="0" applyNumberFormat="1" applyFill="1"/>
    <xf numFmtId="0" fontId="0" fillId="0" borderId="6" xfId="0" applyFont="1" applyFill="1" applyBorder="1"/>
    <xf numFmtId="0" fontId="0" fillId="0" borderId="0" xfId="0" applyFill="1"/>
    <xf numFmtId="0" fontId="0" fillId="0" borderId="4" xfId="0" applyFill="1" applyBorder="1"/>
    <xf numFmtId="0" fontId="0" fillId="0" borderId="6" xfId="0" applyFill="1" applyBorder="1"/>
    <xf numFmtId="0" fontId="0" fillId="2" borderId="0" xfId="0" applyFont="1" applyFill="1" applyBorder="1"/>
    <xf numFmtId="0" fontId="1" fillId="0" borderId="7" xfId="0" applyFont="1" applyBorder="1"/>
    <xf numFmtId="14" fontId="0" fillId="0" borderId="6" xfId="0" applyNumberFormat="1" applyFill="1" applyBorder="1"/>
    <xf numFmtId="0" fontId="0" fillId="0" borderId="2" xfId="0" applyBorder="1"/>
    <xf numFmtId="0" fontId="0" fillId="3" borderId="2" xfId="0" applyFill="1" applyBorder="1"/>
    <xf numFmtId="0" fontId="0" fillId="3" borderId="1" xfId="0" applyFill="1" applyBorder="1"/>
    <xf numFmtId="164" fontId="0" fillId="2" borderId="6" xfId="0" applyNumberFormat="1" applyFill="1" applyBorder="1"/>
    <xf numFmtId="0" fontId="0" fillId="3" borderId="3" xfId="0" applyFont="1" applyFill="1" applyBorder="1"/>
    <xf numFmtId="0" fontId="3" fillId="0" borderId="4" xfId="0" applyFont="1" applyFill="1" applyBorder="1"/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Border="1"/>
    <xf numFmtId="0" fontId="0" fillId="5" borderId="4" xfId="0" applyFill="1" applyBorder="1"/>
    <xf numFmtId="0" fontId="0" fillId="5" borderId="6" xfId="0" applyFill="1" applyBorder="1"/>
    <xf numFmtId="0" fontId="4" fillId="0" borderId="4" xfId="0" applyFont="1" applyBorder="1"/>
    <xf numFmtId="14" fontId="0" fillId="5" borderId="0" xfId="0" applyNumberFormat="1" applyFill="1"/>
    <xf numFmtId="2" fontId="0" fillId="0" borderId="0" xfId="0" applyNumberFormat="1"/>
    <xf numFmtId="0" fontId="2" fillId="0" borderId="2" xfId="0" applyFont="1" applyBorder="1"/>
    <xf numFmtId="0" fontId="0" fillId="3" borderId="0" xfId="0" applyFont="1" applyFill="1" applyBorder="1"/>
    <xf numFmtId="0" fontId="0" fillId="4" borderId="0" xfId="0" applyFont="1" applyFill="1" applyBorder="1"/>
    <xf numFmtId="0" fontId="3" fillId="4" borderId="6" xfId="0" applyFont="1" applyFill="1" applyBorder="1"/>
    <xf numFmtId="0" fontId="0" fillId="4" borderId="6" xfId="0" applyFill="1" applyBorder="1"/>
    <xf numFmtId="0" fontId="3" fillId="0" borderId="6" xfId="0" applyFont="1" applyFill="1" applyBorder="1"/>
    <xf numFmtId="0" fontId="0" fillId="3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4BD97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9C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3</xdr:row>
      <xdr:rowOff>129540</xdr:rowOff>
    </xdr:from>
    <xdr:to>
      <xdr:col>12</xdr:col>
      <xdr:colOff>3810</xdr:colOff>
      <xdr:row>38</xdr:row>
      <xdr:rowOff>114300</xdr:rowOff>
    </xdr:to>
    <xdr:sp macro="" textlink="">
      <xdr:nvSpPr>
        <xdr:cNvPr id="2" name="TextBox 1"/>
        <xdr:cNvSpPr txBox="1"/>
      </xdr:nvSpPr>
      <xdr:spPr>
        <a:xfrm>
          <a:off x="937260" y="678180"/>
          <a:ext cx="6381750" cy="6385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a-DK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Rawdata sheet - Desiccation experiments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a-DK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a-DK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This Datasheet contains the raw data used in the paper: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a-DK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a-DK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1 - Filterpapir SW:</a:t>
          </a:r>
          <a:r>
            <a:rPr kumimoji="0" lang="da-DK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Activity recovery data on </a:t>
          </a:r>
          <a:r>
            <a:rPr kumimoji="0" lang="da-DK" sz="12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Echiniscoides sigismundi</a:t>
          </a:r>
          <a:r>
            <a:rPr kumimoji="0" lang="da-DK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that have been desiccated from seawater on filterpaper as well as the data on the controls (fully hydrated tardigrades). </a:t>
          </a: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a-DK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2 - Glass surface:</a:t>
          </a:r>
          <a:r>
            <a:rPr kumimoji="0" lang="da-DK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Activity recovery data on </a:t>
          </a:r>
          <a:r>
            <a:rPr kumimoji="0" lang="da-DK" sz="12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Echiniscoides sigismundi</a:t>
          </a:r>
          <a:r>
            <a:rPr kumimoji="0" lang="da-DK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that have been desiccated from sea water directly on glass surfaces.</a:t>
          </a:r>
        </a:p>
        <a:p>
          <a:pPr marL="457200" marR="0" lvl="1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a-DK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3 - Hedgehog spines:</a:t>
          </a:r>
          <a:r>
            <a:rPr kumimoji="0" lang="da-DK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Activity recovery data on </a:t>
          </a:r>
          <a:r>
            <a:rPr kumimoji="0" lang="da-DK" sz="12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Echiniscoides sigismundi</a:t>
          </a:r>
          <a:r>
            <a:rPr kumimoji="0" lang="da-DK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that have been desiccated from sea water on hedgehog spines.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a-DK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a-DK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All animals used in experiments were assessed for activity prior to experimentation. Only animals that exhibited high activity (corresponding to a value of "A+"), were used for experimentation.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a-DK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time points indicated in the data sheets are from the time of rehydration, with 0h corresping to the time at which the animals were rehydrated.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a-DK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a-DK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data presented in these sheets have been transcribed from the logbook of Thomas Sørensen-Hygum. The transcription was verified either by Dannie Fobian or Trine Sørensen-Hygum. </a:t>
          </a:r>
        </a:p>
        <a:p>
          <a:pPr lvl="0" algn="l"/>
          <a:endParaRPr lang="da-DK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 algn="ctr">
          <a:defRPr sz="1400">
            <a:latin typeface="Times New Roman" panose="02020603050405020304" pitchFamily="18" charset="0"/>
            <a:cs typeface="Times New Roman" panose="02020603050405020304" pitchFamily="18" charset="0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10" sqref="K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22"/>
  <sheetViews>
    <sheetView zoomScale="85" zoomScaleNormal="85" workbookViewId="0">
      <pane xSplit="3" ySplit="2" topLeftCell="D90" activePane="bottomRight" state="frozen"/>
      <selection pane="topRight" activeCell="D1" sqref="D1"/>
      <selection pane="bottomLeft" activeCell="A3" sqref="A3"/>
      <selection pane="bottomRight" activeCell="A90" sqref="A90"/>
    </sheetView>
  </sheetViews>
  <sheetFormatPr defaultRowHeight="15" x14ac:dyDescent="0.25"/>
  <cols>
    <col min="1" max="1" width="20.42578125"/>
    <col min="2" max="2" width="18.85546875"/>
    <col min="3" max="3" width="17.5703125"/>
    <col min="4" max="4" width="11.7109375" customWidth="1"/>
    <col min="5" max="5" width="6.7109375"/>
    <col min="6" max="6" width="2.7109375"/>
    <col min="7" max="7" width="3.28515625"/>
    <col min="8" max="8" width="5.140625" bestFit="1" customWidth="1"/>
    <col min="9" max="9" width="4.7109375"/>
    <col min="10" max="10" width="4.28515625" customWidth="1"/>
    <col min="11" max="11" width="3.140625"/>
    <col min="12" max="12" width="3.5703125"/>
    <col min="13" max="13" width="4.28515625" bestFit="1" customWidth="1"/>
    <col min="14" max="14" width="5.42578125"/>
    <col min="15" max="15" width="4.28515625"/>
    <col min="16" max="16" width="3.5703125"/>
    <col min="17" max="17" width="5.28515625" bestFit="1" customWidth="1"/>
    <col min="18" max="18" width="3.42578125"/>
    <col min="19" max="19" width="5.140625"/>
    <col min="20" max="20" width="5"/>
    <col min="21" max="21" width="6.5703125" customWidth="1"/>
    <col min="22" max="22" width="3.42578125"/>
    <col min="23" max="23" width="3.7109375"/>
    <col min="24" max="24" width="5.5703125"/>
    <col min="25" max="25" width="4"/>
    <col min="26" max="26" width="6.42578125" customWidth="1"/>
    <col min="27" max="27" width="3.28515625"/>
    <col min="28" max="28" width="3.42578125"/>
    <col min="29" max="29" width="5.42578125"/>
    <col min="30" max="30" width="4.7109375"/>
    <col min="31" max="31" width="3.5703125"/>
    <col min="32" max="32" width="3.140625"/>
    <col min="33" max="33" width="3.28515625"/>
    <col min="34" max="34" width="5.5703125" bestFit="1" customWidth="1"/>
    <col min="35" max="35" width="3.85546875"/>
    <col min="36" max="36" width="3.28515625"/>
    <col min="37" max="37" width="3.140625" bestFit="1" customWidth="1"/>
    <col min="38" max="38" width="2.7109375"/>
    <col min="39" max="39" width="4.85546875"/>
    <col min="40" max="40" width="4"/>
    <col min="41" max="41" width="3.5703125"/>
    <col min="42" max="43" width="3.28515625"/>
    <col min="44" max="44" width="5.28515625"/>
    <col min="45" max="45" width="4.28515625"/>
    <col min="46" max="46" width="3.42578125"/>
    <col min="47" max="47" width="3.5703125"/>
    <col min="48" max="48" width="2.85546875"/>
    <col min="49" max="49" width="5.42578125"/>
    <col min="50" max="50" width="4.5703125"/>
    <col min="51" max="52" width="3.28515625"/>
    <col min="53" max="53" width="3.42578125"/>
    <col min="54" max="54" width="5.28515625"/>
    <col min="55" max="55" width="4" bestFit="1" customWidth="1"/>
    <col min="56" max="56" width="2.5703125" bestFit="1" customWidth="1"/>
    <col min="57" max="57" width="3" bestFit="1" customWidth="1"/>
    <col min="58" max="58" width="2.7109375" bestFit="1" customWidth="1"/>
    <col min="59" max="59" width="5.7109375" bestFit="1" customWidth="1"/>
    <col min="60" max="60" width="23" bestFit="1" customWidth="1"/>
    <col min="61" max="257" width="8.5703125"/>
  </cols>
  <sheetData>
    <row r="1" spans="1:31" x14ac:dyDescent="0.25">
      <c r="A1" s="1" t="s">
        <v>213</v>
      </c>
      <c r="B1" s="2" t="s">
        <v>0</v>
      </c>
      <c r="C1" s="3"/>
      <c r="D1" s="4" t="s">
        <v>220</v>
      </c>
      <c r="E1" s="5" t="s">
        <v>1</v>
      </c>
      <c r="F1" s="2"/>
      <c r="G1" s="2"/>
      <c r="H1" s="1"/>
      <c r="I1" s="73" t="s">
        <v>2</v>
      </c>
      <c r="J1" s="2"/>
      <c r="K1" s="2"/>
      <c r="L1" s="2"/>
      <c r="M1" s="5" t="s">
        <v>3</v>
      </c>
      <c r="N1" s="2"/>
      <c r="O1" s="2"/>
      <c r="P1" s="2"/>
      <c r="Q1" s="5" t="s">
        <v>4</v>
      </c>
      <c r="R1" s="2"/>
      <c r="S1" s="2"/>
      <c r="T1" s="2"/>
      <c r="U1" s="2"/>
      <c r="V1" s="5" t="s">
        <v>5</v>
      </c>
      <c r="W1" s="2"/>
      <c r="X1" s="2"/>
      <c r="Y1" s="2"/>
      <c r="Z1" s="2"/>
      <c r="AA1" s="5"/>
      <c r="AE1" t="s">
        <v>6</v>
      </c>
    </row>
    <row r="2" spans="1:31" x14ac:dyDescent="0.25">
      <c r="C2" s="6"/>
      <c r="D2" s="7"/>
      <c r="E2" s="8" t="s">
        <v>7</v>
      </c>
      <c r="F2" s="9" t="s">
        <v>8</v>
      </c>
      <c r="G2" s="9" t="s">
        <v>9</v>
      </c>
      <c r="H2" s="67" t="s">
        <v>10</v>
      </c>
      <c r="I2" s="9" t="s">
        <v>7</v>
      </c>
      <c r="J2" s="9" t="s">
        <v>8</v>
      </c>
      <c r="K2" s="9" t="s">
        <v>9</v>
      </c>
      <c r="L2" s="9" t="s">
        <v>10</v>
      </c>
      <c r="M2" s="8" t="s">
        <v>7</v>
      </c>
      <c r="N2" s="9" t="s">
        <v>8</v>
      </c>
      <c r="O2" s="9" t="s">
        <v>9</v>
      </c>
      <c r="P2" s="9" t="s">
        <v>10</v>
      </c>
      <c r="Q2" s="8" t="s">
        <v>7</v>
      </c>
      <c r="R2" s="9" t="s">
        <v>8</v>
      </c>
      <c r="S2" s="9" t="s">
        <v>9</v>
      </c>
      <c r="T2" s="9" t="s">
        <v>10</v>
      </c>
      <c r="U2" s="9" t="s">
        <v>11</v>
      </c>
      <c r="V2" s="8" t="s">
        <v>7</v>
      </c>
      <c r="W2" s="9" t="s">
        <v>8</v>
      </c>
      <c r="X2" s="9" t="s">
        <v>9</v>
      </c>
      <c r="Y2" s="9" t="s">
        <v>10</v>
      </c>
      <c r="Z2" s="9" t="s">
        <v>12</v>
      </c>
      <c r="AA2" s="6"/>
    </row>
    <row r="3" spans="1:31" x14ac:dyDescent="0.25">
      <c r="C3" s="11" t="s">
        <v>13</v>
      </c>
      <c r="D3" s="12"/>
      <c r="E3" s="6"/>
      <c r="H3" s="43"/>
      <c r="I3" s="15"/>
      <c r="M3" s="6"/>
      <c r="Q3" s="6"/>
      <c r="V3" s="6"/>
      <c r="AA3" s="6"/>
    </row>
    <row r="4" spans="1:31" x14ac:dyDescent="0.25">
      <c r="C4" s="11" t="s">
        <v>14</v>
      </c>
      <c r="E4" s="6"/>
      <c r="H4" s="43"/>
      <c r="I4" s="15"/>
      <c r="M4" s="6"/>
      <c r="Q4" s="6"/>
      <c r="V4" s="6"/>
      <c r="AA4" s="6"/>
    </row>
    <row r="5" spans="1:31" x14ac:dyDescent="0.25">
      <c r="B5" s="13">
        <v>41561</v>
      </c>
      <c r="C5" s="6" t="s">
        <v>15</v>
      </c>
      <c r="D5" s="14">
        <f>31*60</f>
        <v>1860</v>
      </c>
      <c r="E5" s="6">
        <v>2</v>
      </c>
      <c r="F5">
        <v>0</v>
      </c>
      <c r="G5">
        <v>0</v>
      </c>
      <c r="H5" s="43">
        <v>0</v>
      </c>
      <c r="I5" s="15">
        <v>5</v>
      </c>
      <c r="J5">
        <v>1</v>
      </c>
      <c r="K5">
        <v>0</v>
      </c>
      <c r="L5">
        <v>0</v>
      </c>
      <c r="M5" s="6">
        <v>8</v>
      </c>
      <c r="N5">
        <v>3</v>
      </c>
      <c r="O5">
        <v>0</v>
      </c>
      <c r="P5">
        <v>0</v>
      </c>
      <c r="Q5" s="6">
        <v>14</v>
      </c>
      <c r="R5">
        <v>4</v>
      </c>
      <c r="S5">
        <v>0</v>
      </c>
      <c r="T5">
        <v>0</v>
      </c>
      <c r="U5" s="14">
        <f t="shared" ref="U5:U13" si="0">SUM(Q5:T5)</f>
        <v>18</v>
      </c>
      <c r="V5" s="6">
        <v>15</v>
      </c>
      <c r="W5">
        <v>2</v>
      </c>
      <c r="X5">
        <v>1</v>
      </c>
      <c r="Y5">
        <v>0</v>
      </c>
      <c r="Z5" s="14">
        <f t="shared" ref="Z5:Z13" si="1">SUM(V5:Y5)</f>
        <v>18</v>
      </c>
      <c r="AA5" s="6"/>
    </row>
    <row r="6" spans="1:31" x14ac:dyDescent="0.25">
      <c r="B6" s="13">
        <v>41561</v>
      </c>
      <c r="C6" s="6" t="s">
        <v>16</v>
      </c>
      <c r="D6" s="14">
        <f>32*60</f>
        <v>1920</v>
      </c>
      <c r="E6" s="6">
        <v>10</v>
      </c>
      <c r="F6">
        <v>1</v>
      </c>
      <c r="G6">
        <v>0</v>
      </c>
      <c r="H6" s="43">
        <v>0</v>
      </c>
      <c r="I6" s="15">
        <v>13</v>
      </c>
      <c r="J6">
        <v>0</v>
      </c>
      <c r="K6">
        <v>0</v>
      </c>
      <c r="L6">
        <v>0</v>
      </c>
      <c r="M6" s="6">
        <v>13</v>
      </c>
      <c r="N6">
        <v>2</v>
      </c>
      <c r="O6">
        <v>0</v>
      </c>
      <c r="P6">
        <v>0</v>
      </c>
      <c r="Q6" s="6">
        <v>17</v>
      </c>
      <c r="R6">
        <v>2</v>
      </c>
      <c r="S6">
        <v>0</v>
      </c>
      <c r="T6">
        <v>0</v>
      </c>
      <c r="U6" s="14">
        <f t="shared" si="0"/>
        <v>19</v>
      </c>
      <c r="V6" s="6">
        <v>20</v>
      </c>
      <c r="W6">
        <v>1</v>
      </c>
      <c r="X6">
        <v>0</v>
      </c>
      <c r="Y6">
        <v>0</v>
      </c>
      <c r="Z6" s="14">
        <f t="shared" si="1"/>
        <v>21</v>
      </c>
      <c r="AA6" s="6"/>
    </row>
    <row r="7" spans="1:31" x14ac:dyDescent="0.25">
      <c r="B7" s="13">
        <v>41561</v>
      </c>
      <c r="C7" s="6" t="s">
        <v>17</v>
      </c>
      <c r="D7" s="14">
        <f>25*60</f>
        <v>1500</v>
      </c>
      <c r="E7" s="6">
        <v>13</v>
      </c>
      <c r="F7">
        <v>2</v>
      </c>
      <c r="G7">
        <v>0</v>
      </c>
      <c r="H7" s="43">
        <v>0</v>
      </c>
      <c r="I7" s="15">
        <v>15</v>
      </c>
      <c r="J7">
        <v>0</v>
      </c>
      <c r="K7">
        <v>0</v>
      </c>
      <c r="L7">
        <v>0</v>
      </c>
      <c r="M7" s="6">
        <v>15</v>
      </c>
      <c r="N7">
        <v>2</v>
      </c>
      <c r="O7">
        <v>0</v>
      </c>
      <c r="P7">
        <v>0</v>
      </c>
      <c r="Q7" s="6">
        <v>16</v>
      </c>
      <c r="R7">
        <v>1</v>
      </c>
      <c r="S7">
        <v>3</v>
      </c>
      <c r="T7">
        <v>0</v>
      </c>
      <c r="U7" s="14">
        <f t="shared" si="0"/>
        <v>20</v>
      </c>
      <c r="V7" s="6">
        <v>19</v>
      </c>
      <c r="W7">
        <v>1</v>
      </c>
      <c r="X7">
        <v>0</v>
      </c>
      <c r="Y7">
        <v>0</v>
      </c>
      <c r="Z7" s="14">
        <f t="shared" si="1"/>
        <v>20</v>
      </c>
      <c r="AA7" s="6"/>
    </row>
    <row r="8" spans="1:31" x14ac:dyDescent="0.25">
      <c r="B8" s="13">
        <v>41590</v>
      </c>
      <c r="C8" s="6" t="s">
        <v>18</v>
      </c>
      <c r="D8" s="14">
        <f>13*60</f>
        <v>780</v>
      </c>
      <c r="E8" s="6">
        <v>1</v>
      </c>
      <c r="F8">
        <v>4</v>
      </c>
      <c r="G8">
        <v>0</v>
      </c>
      <c r="H8" s="43">
        <v>0</v>
      </c>
      <c r="I8" s="15">
        <v>6</v>
      </c>
      <c r="J8" s="15">
        <v>1</v>
      </c>
      <c r="K8" s="15">
        <v>0</v>
      </c>
      <c r="L8" s="15">
        <v>0</v>
      </c>
      <c r="M8" s="6">
        <v>9</v>
      </c>
      <c r="N8" s="15">
        <v>0</v>
      </c>
      <c r="O8" s="15">
        <v>0</v>
      </c>
      <c r="P8" s="15">
        <v>0</v>
      </c>
      <c r="Q8" s="6">
        <v>14</v>
      </c>
      <c r="R8">
        <v>2</v>
      </c>
      <c r="S8">
        <v>0</v>
      </c>
      <c r="T8">
        <v>0</v>
      </c>
      <c r="U8" s="14">
        <f t="shared" si="0"/>
        <v>16</v>
      </c>
      <c r="V8" s="6">
        <v>14</v>
      </c>
      <c r="W8" s="15">
        <v>3</v>
      </c>
      <c r="X8" s="15">
        <v>0</v>
      </c>
      <c r="Y8" s="15">
        <v>0</v>
      </c>
      <c r="Z8" s="14">
        <f t="shared" si="1"/>
        <v>17</v>
      </c>
      <c r="AA8" s="6"/>
    </row>
    <row r="9" spans="1:31" x14ac:dyDescent="0.25">
      <c r="B9" s="13">
        <v>41590</v>
      </c>
      <c r="C9" s="6" t="s">
        <v>19</v>
      </c>
      <c r="D9" s="14">
        <f>12.5*60</f>
        <v>750</v>
      </c>
      <c r="E9" s="6">
        <v>1</v>
      </c>
      <c r="F9">
        <v>1</v>
      </c>
      <c r="G9">
        <v>0</v>
      </c>
      <c r="H9" s="43">
        <v>0</v>
      </c>
      <c r="I9" s="15">
        <v>8</v>
      </c>
      <c r="J9" s="15">
        <v>0</v>
      </c>
      <c r="K9" s="15">
        <v>0</v>
      </c>
      <c r="L9" s="15">
        <v>0</v>
      </c>
      <c r="M9" s="6">
        <v>12</v>
      </c>
      <c r="N9" s="15">
        <v>0</v>
      </c>
      <c r="O9" s="15">
        <v>0</v>
      </c>
      <c r="P9" s="15">
        <v>0</v>
      </c>
      <c r="Q9" s="6">
        <v>17</v>
      </c>
      <c r="R9">
        <v>1</v>
      </c>
      <c r="S9">
        <v>0</v>
      </c>
      <c r="T9">
        <v>0</v>
      </c>
      <c r="U9" s="14">
        <f t="shared" si="0"/>
        <v>18</v>
      </c>
      <c r="V9" s="6">
        <v>23</v>
      </c>
      <c r="W9" s="15">
        <v>0</v>
      </c>
      <c r="X9" s="15">
        <v>0</v>
      </c>
      <c r="Y9" s="15">
        <v>0</v>
      </c>
      <c r="Z9" s="14">
        <f t="shared" si="1"/>
        <v>23</v>
      </c>
      <c r="AA9" s="6"/>
    </row>
    <row r="10" spans="1:31" x14ac:dyDescent="0.25">
      <c r="A10" s="14"/>
      <c r="B10" s="13">
        <v>41590</v>
      </c>
      <c r="C10" s="6" t="s">
        <v>20</v>
      </c>
      <c r="D10" s="14">
        <f>12*60</f>
        <v>720</v>
      </c>
      <c r="E10" s="6">
        <v>1</v>
      </c>
      <c r="F10">
        <v>2</v>
      </c>
      <c r="G10">
        <v>0</v>
      </c>
      <c r="H10" s="43">
        <v>0</v>
      </c>
      <c r="I10" s="15">
        <v>8</v>
      </c>
      <c r="J10" s="15">
        <v>0</v>
      </c>
      <c r="K10" s="15">
        <v>0</v>
      </c>
      <c r="L10" s="15">
        <v>0</v>
      </c>
      <c r="M10" s="6">
        <v>5</v>
      </c>
      <c r="N10" s="15">
        <v>2</v>
      </c>
      <c r="O10" s="15">
        <v>0</v>
      </c>
      <c r="P10" s="15">
        <v>0</v>
      </c>
      <c r="Q10" s="6">
        <v>12</v>
      </c>
      <c r="R10">
        <v>2</v>
      </c>
      <c r="S10">
        <v>0</v>
      </c>
      <c r="T10">
        <v>0</v>
      </c>
      <c r="U10" s="14">
        <f t="shared" si="0"/>
        <v>14</v>
      </c>
      <c r="V10" s="6">
        <v>16</v>
      </c>
      <c r="W10" s="15">
        <v>2</v>
      </c>
      <c r="X10" s="15">
        <v>1</v>
      </c>
      <c r="Y10" s="15">
        <v>0</v>
      </c>
      <c r="Z10" s="14">
        <f t="shared" si="1"/>
        <v>19</v>
      </c>
      <c r="AA10" s="6"/>
      <c r="AE10" s="72"/>
    </row>
    <row r="11" spans="1:31" x14ac:dyDescent="0.25">
      <c r="A11" s="33"/>
      <c r="B11" s="13">
        <v>42108</v>
      </c>
      <c r="C11" s="6" t="s">
        <v>106</v>
      </c>
      <c r="D11" s="33"/>
      <c r="E11" s="6">
        <v>5</v>
      </c>
      <c r="F11" s="33">
        <v>0</v>
      </c>
      <c r="G11" s="46">
        <v>15</v>
      </c>
      <c r="H11" s="55">
        <v>0</v>
      </c>
      <c r="I11" s="15">
        <v>10</v>
      </c>
      <c r="J11" s="46">
        <v>4</v>
      </c>
      <c r="K11" s="46">
        <v>6</v>
      </c>
      <c r="L11" s="46">
        <v>0</v>
      </c>
      <c r="M11" s="6">
        <v>15</v>
      </c>
      <c r="N11" s="46">
        <v>2</v>
      </c>
      <c r="O11" s="46">
        <v>3</v>
      </c>
      <c r="P11" s="46">
        <v>0</v>
      </c>
      <c r="Q11" s="6">
        <v>15</v>
      </c>
      <c r="R11" s="46">
        <v>3</v>
      </c>
      <c r="S11" s="46">
        <v>2</v>
      </c>
      <c r="T11" s="46">
        <v>0</v>
      </c>
      <c r="U11" s="33">
        <f t="shared" si="0"/>
        <v>20</v>
      </c>
      <c r="V11" s="6">
        <v>14</v>
      </c>
      <c r="W11" s="46">
        <v>4</v>
      </c>
      <c r="X11" s="46">
        <v>2</v>
      </c>
      <c r="Y11" s="46">
        <v>0</v>
      </c>
      <c r="Z11" s="33">
        <f t="shared" si="1"/>
        <v>20</v>
      </c>
      <c r="AA11" s="6"/>
      <c r="AB11" s="33"/>
      <c r="AC11" s="33"/>
      <c r="AD11" s="33"/>
    </row>
    <row r="12" spans="1:31" x14ac:dyDescent="0.25">
      <c r="A12" s="33"/>
      <c r="B12" s="13">
        <v>42108</v>
      </c>
      <c r="C12" s="6" t="s">
        <v>107</v>
      </c>
      <c r="D12" s="33"/>
      <c r="E12" s="6">
        <v>4</v>
      </c>
      <c r="F12" s="33">
        <v>1</v>
      </c>
      <c r="G12" s="46">
        <v>10</v>
      </c>
      <c r="H12" s="55">
        <v>0</v>
      </c>
      <c r="I12" s="15">
        <v>12</v>
      </c>
      <c r="J12" s="46">
        <v>2</v>
      </c>
      <c r="K12" s="46">
        <v>1</v>
      </c>
      <c r="L12" s="46">
        <v>0</v>
      </c>
      <c r="M12" s="6">
        <v>11</v>
      </c>
      <c r="N12" s="46">
        <v>2</v>
      </c>
      <c r="O12" s="46">
        <v>2</v>
      </c>
      <c r="P12" s="46">
        <v>0</v>
      </c>
      <c r="Q12" s="6">
        <v>11</v>
      </c>
      <c r="R12" s="46">
        <v>4</v>
      </c>
      <c r="S12" s="46">
        <v>1</v>
      </c>
      <c r="T12" s="46">
        <v>0</v>
      </c>
      <c r="U12" s="33">
        <f t="shared" si="0"/>
        <v>16</v>
      </c>
      <c r="V12" s="6">
        <v>10</v>
      </c>
      <c r="W12" s="46">
        <v>2</v>
      </c>
      <c r="X12" s="46">
        <v>3</v>
      </c>
      <c r="Y12" s="46">
        <v>0</v>
      </c>
      <c r="Z12" s="33">
        <f t="shared" si="1"/>
        <v>15</v>
      </c>
      <c r="AA12" s="6"/>
      <c r="AB12" s="33"/>
      <c r="AC12" s="33"/>
      <c r="AD12" s="33"/>
    </row>
    <row r="13" spans="1:31" x14ac:dyDescent="0.25">
      <c r="A13" s="33"/>
      <c r="B13" s="13">
        <v>42108</v>
      </c>
      <c r="C13" s="6" t="s">
        <v>108</v>
      </c>
      <c r="D13" s="33"/>
      <c r="E13" s="6">
        <v>8</v>
      </c>
      <c r="F13" s="33">
        <v>2</v>
      </c>
      <c r="G13" s="46">
        <v>6</v>
      </c>
      <c r="H13" s="55">
        <v>0</v>
      </c>
      <c r="I13" s="15">
        <v>11</v>
      </c>
      <c r="J13" s="46">
        <v>1</v>
      </c>
      <c r="K13" s="46">
        <v>4</v>
      </c>
      <c r="L13" s="46">
        <v>0</v>
      </c>
      <c r="M13" s="6">
        <v>13</v>
      </c>
      <c r="N13" s="46">
        <v>1</v>
      </c>
      <c r="O13" s="46">
        <v>2</v>
      </c>
      <c r="P13" s="46">
        <v>0</v>
      </c>
      <c r="Q13" s="6">
        <v>11</v>
      </c>
      <c r="R13" s="46">
        <v>2</v>
      </c>
      <c r="S13" s="46">
        <v>3</v>
      </c>
      <c r="T13" s="46">
        <v>0</v>
      </c>
      <c r="U13" s="33">
        <f t="shared" si="0"/>
        <v>16</v>
      </c>
      <c r="V13" s="6">
        <v>11</v>
      </c>
      <c r="W13" s="46">
        <v>2</v>
      </c>
      <c r="X13" s="46">
        <v>3</v>
      </c>
      <c r="Y13" s="46">
        <v>0</v>
      </c>
      <c r="Z13" s="33">
        <f t="shared" si="1"/>
        <v>16</v>
      </c>
      <c r="AA13" s="6"/>
      <c r="AB13" s="33"/>
      <c r="AC13" s="33"/>
      <c r="AD13" s="33"/>
    </row>
    <row r="14" spans="1:31" x14ac:dyDescent="0.25">
      <c r="A14" s="14"/>
      <c r="C14" s="16" t="s">
        <v>21</v>
      </c>
      <c r="D14" s="17">
        <f>AVERAGE(D5:D10)</f>
        <v>1255</v>
      </c>
      <c r="E14" s="16"/>
      <c r="F14" s="18"/>
      <c r="G14" s="18"/>
      <c r="H14" s="36"/>
      <c r="I14" s="56"/>
      <c r="J14" s="18"/>
      <c r="K14" s="18"/>
      <c r="L14" s="18"/>
      <c r="M14" s="16"/>
      <c r="N14" s="18"/>
      <c r="O14" s="18"/>
      <c r="P14" s="18"/>
      <c r="Q14" s="16"/>
      <c r="R14" s="18"/>
      <c r="S14" s="18"/>
      <c r="T14" s="18"/>
      <c r="U14" s="18">
        <f>AVERAGE(U5:U13)</f>
        <v>17.444444444444443</v>
      </c>
      <c r="V14" s="16"/>
      <c r="W14" s="18"/>
      <c r="X14" s="18"/>
      <c r="Y14" s="18"/>
      <c r="Z14" s="18">
        <f>AVERAGE(Z5:Z13)</f>
        <v>18.777777777777779</v>
      </c>
      <c r="AA14" s="6"/>
    </row>
    <row r="15" spans="1:31" x14ac:dyDescent="0.25">
      <c r="C15" s="19" t="s">
        <v>12</v>
      </c>
      <c r="D15" s="20"/>
      <c r="E15" s="19"/>
      <c r="F15" s="20"/>
      <c r="G15" s="20"/>
      <c r="H15" s="21"/>
      <c r="I15" s="74"/>
      <c r="J15" s="20"/>
      <c r="K15" s="20"/>
      <c r="L15" s="20"/>
      <c r="M15" s="19"/>
      <c r="N15" s="20"/>
      <c r="O15" s="20"/>
      <c r="P15" s="20"/>
      <c r="Q15" s="19"/>
      <c r="R15" s="20"/>
      <c r="S15" s="20"/>
      <c r="T15" s="20"/>
      <c r="U15" s="21">
        <f>SUM(U5:U13)</f>
        <v>157</v>
      </c>
      <c r="V15" s="22"/>
      <c r="W15" s="20"/>
      <c r="X15" s="20"/>
      <c r="Y15" s="20"/>
      <c r="Z15" s="20">
        <f>SUM(Z5:Z13)</f>
        <v>169</v>
      </c>
      <c r="AA15" s="6"/>
    </row>
    <row r="16" spans="1:31" x14ac:dyDescent="0.25">
      <c r="A16" s="23"/>
      <c r="B16" s="23"/>
      <c r="C16" s="24" t="s">
        <v>22</v>
      </c>
      <c r="D16" s="23"/>
      <c r="E16" s="25"/>
      <c r="F16" s="23"/>
      <c r="G16" s="23"/>
      <c r="H16" s="26"/>
      <c r="I16" s="23"/>
      <c r="J16" s="23"/>
      <c r="K16" s="23"/>
      <c r="L16" s="23"/>
      <c r="M16" s="25"/>
      <c r="N16" s="23"/>
      <c r="O16" s="23"/>
      <c r="P16" s="23"/>
      <c r="Q16" s="25"/>
      <c r="R16" s="23"/>
      <c r="S16" s="23"/>
      <c r="T16" s="23"/>
      <c r="U16" s="26"/>
      <c r="V16" s="25"/>
      <c r="W16" s="23"/>
      <c r="X16" s="23"/>
      <c r="Y16" s="23"/>
      <c r="Z16" s="23"/>
      <c r="AA16" s="25"/>
    </row>
    <row r="17" spans="1:27" x14ac:dyDescent="0.25">
      <c r="B17" s="13">
        <v>41507</v>
      </c>
      <c r="C17" s="6" t="s">
        <v>23</v>
      </c>
      <c r="D17" s="14">
        <f>32*60</f>
        <v>1920</v>
      </c>
      <c r="E17" s="6">
        <v>2</v>
      </c>
      <c r="F17">
        <v>0</v>
      </c>
      <c r="G17">
        <v>0</v>
      </c>
      <c r="H17" s="43">
        <v>0</v>
      </c>
      <c r="I17" s="15">
        <v>17</v>
      </c>
      <c r="J17" s="15">
        <v>0</v>
      </c>
      <c r="K17" s="15">
        <v>0</v>
      </c>
      <c r="L17" s="15">
        <v>0</v>
      </c>
      <c r="M17" s="6">
        <v>18</v>
      </c>
      <c r="N17" s="15">
        <v>0</v>
      </c>
      <c r="O17" s="15">
        <v>1</v>
      </c>
      <c r="P17" s="15">
        <v>0</v>
      </c>
      <c r="Q17" s="6">
        <v>19</v>
      </c>
      <c r="R17">
        <v>1</v>
      </c>
      <c r="S17">
        <v>0</v>
      </c>
      <c r="T17">
        <v>0</v>
      </c>
      <c r="U17" s="14">
        <f t="shared" ref="U17:U24" si="2">SUM(Q17:T17)</f>
        <v>20</v>
      </c>
      <c r="V17" s="6">
        <v>19</v>
      </c>
      <c r="W17" s="15">
        <v>0</v>
      </c>
      <c r="X17" s="15">
        <v>1</v>
      </c>
      <c r="Y17" s="15">
        <v>0</v>
      </c>
      <c r="Z17" s="14">
        <f t="shared" ref="Z17:Z24" si="3">SUM(V17:Y17)</f>
        <v>20</v>
      </c>
      <c r="AA17" s="6"/>
    </row>
    <row r="18" spans="1:27" x14ac:dyDescent="0.25">
      <c r="B18" s="13">
        <v>41507</v>
      </c>
      <c r="C18" s="6" t="s">
        <v>24</v>
      </c>
      <c r="D18" s="14">
        <f>45.5*60</f>
        <v>2730</v>
      </c>
      <c r="E18" s="6">
        <v>3</v>
      </c>
      <c r="F18">
        <v>0</v>
      </c>
      <c r="G18">
        <v>0</v>
      </c>
      <c r="H18" s="43">
        <v>0</v>
      </c>
      <c r="I18" s="15">
        <v>18</v>
      </c>
      <c r="J18" s="15">
        <v>0</v>
      </c>
      <c r="K18" s="15">
        <v>0</v>
      </c>
      <c r="L18" s="15">
        <v>0</v>
      </c>
      <c r="M18" s="6">
        <v>19</v>
      </c>
      <c r="N18" s="15">
        <v>0</v>
      </c>
      <c r="O18" s="15">
        <v>1</v>
      </c>
      <c r="P18" s="15">
        <v>0</v>
      </c>
      <c r="Q18" s="6">
        <v>18</v>
      </c>
      <c r="R18">
        <v>1</v>
      </c>
      <c r="S18">
        <v>1</v>
      </c>
      <c r="T18">
        <v>0</v>
      </c>
      <c r="U18" s="14">
        <f t="shared" si="2"/>
        <v>20</v>
      </c>
      <c r="V18" s="6">
        <v>18</v>
      </c>
      <c r="W18" s="15">
        <v>0</v>
      </c>
      <c r="X18" s="15">
        <v>2</v>
      </c>
      <c r="Y18" s="15">
        <v>0</v>
      </c>
      <c r="Z18" s="14">
        <f t="shared" si="3"/>
        <v>20</v>
      </c>
      <c r="AA18" s="6"/>
    </row>
    <row r="19" spans="1:27" x14ac:dyDescent="0.25">
      <c r="B19" s="13">
        <v>41562</v>
      </c>
      <c r="C19" s="6" t="s">
        <v>25</v>
      </c>
      <c r="D19" s="14">
        <f>42*60</f>
        <v>2520</v>
      </c>
      <c r="E19" s="6">
        <v>0</v>
      </c>
      <c r="F19">
        <v>0</v>
      </c>
      <c r="G19">
        <v>0</v>
      </c>
      <c r="H19" s="43">
        <v>0</v>
      </c>
      <c r="I19" s="15">
        <v>11</v>
      </c>
      <c r="J19">
        <v>2</v>
      </c>
      <c r="K19">
        <v>0</v>
      </c>
      <c r="L19">
        <v>0</v>
      </c>
      <c r="M19" s="6">
        <v>15</v>
      </c>
      <c r="N19">
        <v>0</v>
      </c>
      <c r="O19">
        <v>0</v>
      </c>
      <c r="P19">
        <v>0</v>
      </c>
      <c r="Q19" s="6">
        <v>20</v>
      </c>
      <c r="R19">
        <v>0</v>
      </c>
      <c r="S19">
        <v>0</v>
      </c>
      <c r="T19">
        <v>0</v>
      </c>
      <c r="U19" s="14">
        <f t="shared" si="2"/>
        <v>20</v>
      </c>
      <c r="V19" s="6">
        <v>21</v>
      </c>
      <c r="W19">
        <v>2</v>
      </c>
      <c r="X19">
        <v>0</v>
      </c>
      <c r="Y19">
        <v>0</v>
      </c>
      <c r="Z19" s="14">
        <f t="shared" si="3"/>
        <v>23</v>
      </c>
      <c r="AA19" s="6"/>
    </row>
    <row r="20" spans="1:27" x14ac:dyDescent="0.25">
      <c r="B20" s="13">
        <v>41562</v>
      </c>
      <c r="C20" s="6" t="s">
        <v>26</v>
      </c>
      <c r="D20" s="14">
        <f>14.5*60</f>
        <v>870</v>
      </c>
      <c r="E20" s="6">
        <v>0</v>
      </c>
      <c r="F20">
        <v>0</v>
      </c>
      <c r="G20">
        <v>0</v>
      </c>
      <c r="H20" s="43">
        <v>0</v>
      </c>
      <c r="I20" s="15">
        <v>12</v>
      </c>
      <c r="J20">
        <v>2</v>
      </c>
      <c r="K20">
        <v>0</v>
      </c>
      <c r="L20">
        <v>0</v>
      </c>
      <c r="M20" s="6">
        <v>17</v>
      </c>
      <c r="N20">
        <v>1</v>
      </c>
      <c r="O20">
        <v>0</v>
      </c>
      <c r="P20">
        <v>0</v>
      </c>
      <c r="Q20" s="6">
        <v>16</v>
      </c>
      <c r="R20">
        <v>1</v>
      </c>
      <c r="S20">
        <v>0</v>
      </c>
      <c r="T20">
        <v>0</v>
      </c>
      <c r="U20" s="14">
        <f t="shared" si="2"/>
        <v>17</v>
      </c>
      <c r="V20" s="6">
        <v>17</v>
      </c>
      <c r="W20">
        <v>0</v>
      </c>
      <c r="X20">
        <v>0</v>
      </c>
      <c r="Y20">
        <v>0</v>
      </c>
      <c r="Z20" s="14">
        <f t="shared" si="3"/>
        <v>17</v>
      </c>
      <c r="AA20" s="6"/>
    </row>
    <row r="21" spans="1:27" x14ac:dyDescent="0.25">
      <c r="B21" s="13">
        <v>41562</v>
      </c>
      <c r="C21" s="6" t="s">
        <v>27</v>
      </c>
      <c r="D21" s="14">
        <f>11.5*60</f>
        <v>690</v>
      </c>
      <c r="E21" s="6">
        <v>0</v>
      </c>
      <c r="F21">
        <v>0</v>
      </c>
      <c r="G21">
        <v>0</v>
      </c>
      <c r="H21" s="43">
        <v>0</v>
      </c>
      <c r="I21" s="15">
        <v>12</v>
      </c>
      <c r="J21">
        <v>3</v>
      </c>
      <c r="K21">
        <v>0</v>
      </c>
      <c r="L21">
        <v>0</v>
      </c>
      <c r="M21" s="6">
        <v>16</v>
      </c>
      <c r="N21">
        <v>2</v>
      </c>
      <c r="O21">
        <v>0</v>
      </c>
      <c r="P21">
        <v>0</v>
      </c>
      <c r="Q21" s="6">
        <v>17</v>
      </c>
      <c r="R21">
        <v>1</v>
      </c>
      <c r="S21">
        <v>0</v>
      </c>
      <c r="T21">
        <v>0</v>
      </c>
      <c r="U21" s="14">
        <f t="shared" si="2"/>
        <v>18</v>
      </c>
      <c r="V21" s="6">
        <v>23</v>
      </c>
      <c r="W21">
        <v>0</v>
      </c>
      <c r="X21">
        <v>1</v>
      </c>
      <c r="Y21">
        <v>0</v>
      </c>
      <c r="Z21" s="14">
        <f t="shared" si="3"/>
        <v>24</v>
      </c>
      <c r="AA21" s="6"/>
    </row>
    <row r="22" spans="1:27" x14ac:dyDescent="0.25">
      <c r="B22" s="13">
        <v>41590</v>
      </c>
      <c r="C22" s="6" t="s">
        <v>28</v>
      </c>
      <c r="D22" s="14">
        <f>15*60</f>
        <v>900</v>
      </c>
      <c r="E22" s="6">
        <v>1</v>
      </c>
      <c r="F22">
        <v>2</v>
      </c>
      <c r="G22">
        <v>0</v>
      </c>
      <c r="H22" s="43">
        <v>0</v>
      </c>
      <c r="I22" s="15">
        <v>6</v>
      </c>
      <c r="J22" s="15">
        <v>0</v>
      </c>
      <c r="K22" s="15">
        <v>0</v>
      </c>
      <c r="L22" s="15">
        <v>0</v>
      </c>
      <c r="M22" s="6">
        <v>10</v>
      </c>
      <c r="N22" s="15">
        <v>2</v>
      </c>
      <c r="O22" s="15">
        <v>0</v>
      </c>
      <c r="P22" s="15">
        <v>0</v>
      </c>
      <c r="Q22" s="6">
        <v>16</v>
      </c>
      <c r="R22">
        <v>2</v>
      </c>
      <c r="S22">
        <v>0</v>
      </c>
      <c r="T22">
        <v>0</v>
      </c>
      <c r="U22" s="14">
        <f t="shared" si="2"/>
        <v>18</v>
      </c>
      <c r="V22" s="6">
        <v>17</v>
      </c>
      <c r="W22" s="15">
        <v>3</v>
      </c>
      <c r="X22" s="15">
        <v>0</v>
      </c>
      <c r="Y22" s="15">
        <v>0</v>
      </c>
      <c r="Z22" s="14">
        <f t="shared" si="3"/>
        <v>20</v>
      </c>
      <c r="AA22" s="6"/>
    </row>
    <row r="23" spans="1:27" x14ac:dyDescent="0.25">
      <c r="B23" s="13">
        <v>41590</v>
      </c>
      <c r="C23" s="6" t="s">
        <v>29</v>
      </c>
      <c r="D23" s="14"/>
      <c r="E23" s="6">
        <v>0</v>
      </c>
      <c r="F23">
        <v>2</v>
      </c>
      <c r="G23">
        <v>0</v>
      </c>
      <c r="H23" s="43">
        <v>0</v>
      </c>
      <c r="I23" s="15">
        <v>3</v>
      </c>
      <c r="J23" s="15">
        <v>4</v>
      </c>
      <c r="K23" s="15">
        <v>0</v>
      </c>
      <c r="L23" s="15">
        <v>0</v>
      </c>
      <c r="M23" s="6">
        <v>8</v>
      </c>
      <c r="N23" s="15">
        <v>4</v>
      </c>
      <c r="O23" s="15">
        <v>0</v>
      </c>
      <c r="P23" s="15">
        <v>0</v>
      </c>
      <c r="Q23" s="6">
        <v>18</v>
      </c>
      <c r="R23">
        <v>2</v>
      </c>
      <c r="S23">
        <v>0</v>
      </c>
      <c r="T23">
        <v>0</v>
      </c>
      <c r="U23" s="14">
        <f t="shared" si="2"/>
        <v>20</v>
      </c>
      <c r="V23" s="6">
        <v>22</v>
      </c>
      <c r="W23" s="15">
        <v>1</v>
      </c>
      <c r="X23" s="15">
        <v>0</v>
      </c>
      <c r="Y23" s="15">
        <v>0</v>
      </c>
      <c r="Z23" s="14">
        <f t="shared" si="3"/>
        <v>23</v>
      </c>
      <c r="AA23" s="6"/>
    </row>
    <row r="24" spans="1:27" x14ac:dyDescent="0.25">
      <c r="A24" s="14"/>
      <c r="B24" s="13">
        <v>41590</v>
      </c>
      <c r="C24" s="6" t="s">
        <v>30</v>
      </c>
      <c r="D24" s="14"/>
      <c r="E24" s="6">
        <v>1</v>
      </c>
      <c r="F24">
        <v>1</v>
      </c>
      <c r="G24">
        <v>0</v>
      </c>
      <c r="H24" s="43">
        <v>0</v>
      </c>
      <c r="I24" s="15">
        <v>4</v>
      </c>
      <c r="J24" s="15">
        <v>1</v>
      </c>
      <c r="K24" s="15">
        <v>0</v>
      </c>
      <c r="L24" s="15">
        <v>0</v>
      </c>
      <c r="M24" s="6">
        <v>7</v>
      </c>
      <c r="N24" s="15">
        <v>0</v>
      </c>
      <c r="O24" s="15">
        <v>0</v>
      </c>
      <c r="P24" s="15">
        <v>0</v>
      </c>
      <c r="Q24" s="6">
        <v>14</v>
      </c>
      <c r="R24">
        <v>1</v>
      </c>
      <c r="S24">
        <v>0</v>
      </c>
      <c r="T24">
        <v>0</v>
      </c>
      <c r="U24" s="14">
        <f t="shared" si="2"/>
        <v>15</v>
      </c>
      <c r="V24" s="6">
        <v>14</v>
      </c>
      <c r="W24" s="15">
        <v>1</v>
      </c>
      <c r="X24" s="15">
        <v>0</v>
      </c>
      <c r="Y24" s="15">
        <v>0</v>
      </c>
      <c r="Z24" s="14">
        <f t="shared" si="3"/>
        <v>15</v>
      </c>
      <c r="AA24" s="6"/>
    </row>
    <row r="25" spans="1:27" x14ac:dyDescent="0.25">
      <c r="A25" s="14"/>
      <c r="C25" s="16" t="s">
        <v>21</v>
      </c>
      <c r="D25" s="17">
        <f>AVERAGE(D17:D24)</f>
        <v>1605</v>
      </c>
      <c r="E25" s="16"/>
      <c r="F25" s="18"/>
      <c r="G25" s="18"/>
      <c r="H25" s="36"/>
      <c r="I25" s="56"/>
      <c r="J25" s="18"/>
      <c r="K25" s="18"/>
      <c r="L25" s="18"/>
      <c r="M25" s="16"/>
      <c r="N25" s="18"/>
      <c r="O25" s="18"/>
      <c r="P25" s="18"/>
      <c r="Q25" s="16"/>
      <c r="R25" s="18"/>
      <c r="S25" s="18"/>
      <c r="T25" s="18"/>
      <c r="U25" s="18">
        <f>AVERAGE(U17:U24)</f>
        <v>18.5</v>
      </c>
      <c r="V25" s="16"/>
      <c r="W25" s="18"/>
      <c r="X25" s="18"/>
      <c r="Y25" s="18"/>
      <c r="Z25" s="18">
        <f>AVERAGE(Z17:Z24)</f>
        <v>20.25</v>
      </c>
      <c r="AA25" s="6"/>
    </row>
    <row r="26" spans="1:27" x14ac:dyDescent="0.25">
      <c r="C26" s="19" t="s">
        <v>12</v>
      </c>
      <c r="D26" s="20"/>
      <c r="E26" s="19"/>
      <c r="F26" s="20"/>
      <c r="G26" s="20"/>
      <c r="H26" s="21"/>
      <c r="I26" s="74"/>
      <c r="J26" s="20"/>
      <c r="K26" s="20"/>
      <c r="L26" s="20"/>
      <c r="M26" s="19"/>
      <c r="N26" s="20"/>
      <c r="O26" s="20"/>
      <c r="P26" s="20"/>
      <c r="Q26" s="19"/>
      <c r="R26" s="20"/>
      <c r="S26" s="20"/>
      <c r="T26" s="20"/>
      <c r="U26" s="21">
        <f>SUM(U17:U24)</f>
        <v>148</v>
      </c>
      <c r="V26" s="22"/>
      <c r="W26" s="20"/>
      <c r="X26" s="20"/>
      <c r="Y26" s="20"/>
      <c r="Z26" s="20">
        <f>SUM(Z17:Z24)</f>
        <v>162</v>
      </c>
      <c r="AA26" s="6"/>
    </row>
    <row r="27" spans="1:27" x14ac:dyDescent="0.25">
      <c r="A27" s="23"/>
      <c r="B27" s="23"/>
      <c r="C27" s="24" t="s">
        <v>31</v>
      </c>
      <c r="D27" s="23"/>
      <c r="E27" s="25"/>
      <c r="F27" s="23"/>
      <c r="G27" s="23"/>
      <c r="H27" s="26"/>
      <c r="I27" s="23"/>
      <c r="J27" s="23"/>
      <c r="K27" s="23"/>
      <c r="L27" s="23"/>
      <c r="M27" s="25"/>
      <c r="N27" s="23"/>
      <c r="O27" s="23"/>
      <c r="P27" s="23"/>
      <c r="Q27" s="25"/>
      <c r="R27" s="23"/>
      <c r="S27" s="23"/>
      <c r="T27" s="23"/>
      <c r="U27" s="26"/>
      <c r="V27" s="25"/>
      <c r="W27" s="23"/>
      <c r="X27" s="23"/>
      <c r="Y27" s="23"/>
      <c r="Z27" s="23"/>
      <c r="AA27" s="25"/>
    </row>
    <row r="28" spans="1:27" x14ac:dyDescent="0.25">
      <c r="B28" s="13">
        <v>41564</v>
      </c>
      <c r="C28" s="6" t="s">
        <v>32</v>
      </c>
      <c r="D28" s="14">
        <f>21*60</f>
        <v>1260</v>
      </c>
      <c r="E28" s="6">
        <v>0</v>
      </c>
      <c r="F28">
        <v>0</v>
      </c>
      <c r="G28">
        <v>0</v>
      </c>
      <c r="H28" s="43">
        <v>0</v>
      </c>
      <c r="I28" s="15">
        <v>11</v>
      </c>
      <c r="J28" s="15">
        <v>2</v>
      </c>
      <c r="K28" s="15">
        <v>0</v>
      </c>
      <c r="L28" s="15">
        <v>0</v>
      </c>
      <c r="M28" s="6">
        <v>14</v>
      </c>
      <c r="N28" s="15">
        <v>2</v>
      </c>
      <c r="O28" s="15">
        <v>0</v>
      </c>
      <c r="P28" s="15">
        <v>0</v>
      </c>
      <c r="Q28" s="6">
        <v>16</v>
      </c>
      <c r="R28">
        <v>0</v>
      </c>
      <c r="S28">
        <v>0</v>
      </c>
      <c r="T28">
        <v>0</v>
      </c>
      <c r="U28" s="14">
        <f t="shared" ref="U28:U33" si="4">SUM(Q28:T28)</f>
        <v>16</v>
      </c>
      <c r="V28" s="6">
        <v>16</v>
      </c>
      <c r="W28" s="15">
        <v>0</v>
      </c>
      <c r="X28" s="15">
        <v>1</v>
      </c>
      <c r="Y28" s="15">
        <v>0</v>
      </c>
      <c r="Z28" s="14">
        <f t="shared" ref="Z28:Z33" si="5">SUM(V28:Y28)</f>
        <v>17</v>
      </c>
      <c r="AA28" s="6"/>
    </row>
    <row r="29" spans="1:27" x14ac:dyDescent="0.25">
      <c r="B29" s="13">
        <v>41564</v>
      </c>
      <c r="C29" s="6" t="s">
        <v>33</v>
      </c>
      <c r="D29" s="14">
        <f>21*60</f>
        <v>1260</v>
      </c>
      <c r="E29" s="6">
        <v>0</v>
      </c>
      <c r="F29">
        <v>0</v>
      </c>
      <c r="G29">
        <v>0</v>
      </c>
      <c r="H29" s="43">
        <v>0</v>
      </c>
      <c r="I29" s="15">
        <v>12</v>
      </c>
      <c r="J29" s="15">
        <v>3</v>
      </c>
      <c r="K29" s="15">
        <v>0</v>
      </c>
      <c r="L29" s="15">
        <v>0</v>
      </c>
      <c r="M29" s="6">
        <v>15</v>
      </c>
      <c r="N29" s="15">
        <v>0</v>
      </c>
      <c r="O29" s="15">
        <v>0</v>
      </c>
      <c r="P29" s="15">
        <v>0</v>
      </c>
      <c r="Q29" s="6">
        <v>13</v>
      </c>
      <c r="R29">
        <v>2</v>
      </c>
      <c r="S29">
        <v>0</v>
      </c>
      <c r="T29">
        <v>0</v>
      </c>
      <c r="U29" s="14">
        <f t="shared" si="4"/>
        <v>15</v>
      </c>
      <c r="V29" s="6">
        <v>15</v>
      </c>
      <c r="W29" s="15">
        <v>0</v>
      </c>
      <c r="X29" s="15">
        <v>0</v>
      </c>
      <c r="Y29" s="15">
        <v>0</v>
      </c>
      <c r="Z29" s="14">
        <f t="shared" si="5"/>
        <v>15</v>
      </c>
      <c r="AA29" s="6"/>
    </row>
    <row r="30" spans="1:27" x14ac:dyDescent="0.25">
      <c r="B30" s="13">
        <v>41564</v>
      </c>
      <c r="C30" s="6" t="s">
        <v>34</v>
      </c>
      <c r="D30" s="14">
        <f>23*60</f>
        <v>1380</v>
      </c>
      <c r="E30" s="6">
        <v>0</v>
      </c>
      <c r="F30">
        <v>0</v>
      </c>
      <c r="G30">
        <v>0</v>
      </c>
      <c r="H30" s="43">
        <v>0</v>
      </c>
      <c r="I30" s="15">
        <v>18</v>
      </c>
      <c r="J30" s="15">
        <v>0</v>
      </c>
      <c r="K30" s="15">
        <v>0</v>
      </c>
      <c r="L30" s="15">
        <v>0</v>
      </c>
      <c r="M30" s="6">
        <v>19</v>
      </c>
      <c r="N30" s="15">
        <v>0</v>
      </c>
      <c r="O30" s="15">
        <v>0</v>
      </c>
      <c r="P30" s="15">
        <v>0</v>
      </c>
      <c r="Q30" s="6">
        <v>22</v>
      </c>
      <c r="R30">
        <v>1</v>
      </c>
      <c r="S30">
        <v>0</v>
      </c>
      <c r="T30">
        <v>0</v>
      </c>
      <c r="U30" s="14">
        <f t="shared" si="4"/>
        <v>23</v>
      </c>
      <c r="V30" s="6">
        <v>19</v>
      </c>
      <c r="W30" s="15">
        <v>1</v>
      </c>
      <c r="X30" s="15">
        <v>3</v>
      </c>
      <c r="Y30" s="15">
        <v>0</v>
      </c>
      <c r="Z30" s="14">
        <f t="shared" si="5"/>
        <v>23</v>
      </c>
      <c r="AA30" s="6"/>
    </row>
    <row r="31" spans="1:27" x14ac:dyDescent="0.25">
      <c r="A31" s="14"/>
      <c r="B31" s="13">
        <v>41591</v>
      </c>
      <c r="C31" s="6" t="s">
        <v>35</v>
      </c>
      <c r="D31" s="14">
        <f>60*19</f>
        <v>1140</v>
      </c>
      <c r="E31" s="6">
        <v>0</v>
      </c>
      <c r="F31">
        <v>2</v>
      </c>
      <c r="G31">
        <v>0</v>
      </c>
      <c r="H31" s="43">
        <v>0</v>
      </c>
      <c r="I31" s="15">
        <v>7</v>
      </c>
      <c r="J31" s="15">
        <v>0</v>
      </c>
      <c r="K31" s="15">
        <v>0</v>
      </c>
      <c r="L31" s="15">
        <v>0</v>
      </c>
      <c r="M31" s="6">
        <v>9</v>
      </c>
      <c r="N31" s="15">
        <v>1</v>
      </c>
      <c r="O31" s="15">
        <v>0</v>
      </c>
      <c r="P31" s="15">
        <v>0</v>
      </c>
      <c r="Q31" s="6">
        <v>18</v>
      </c>
      <c r="R31">
        <v>4</v>
      </c>
      <c r="S31">
        <v>1</v>
      </c>
      <c r="T31">
        <v>0</v>
      </c>
      <c r="U31" s="14">
        <f t="shared" si="4"/>
        <v>23</v>
      </c>
      <c r="V31" s="6">
        <v>20</v>
      </c>
      <c r="W31" s="15">
        <v>3</v>
      </c>
      <c r="X31" s="15">
        <v>0</v>
      </c>
      <c r="Y31" s="15">
        <v>0</v>
      </c>
      <c r="Z31" s="14">
        <f t="shared" si="5"/>
        <v>23</v>
      </c>
      <c r="AA31" s="6"/>
    </row>
    <row r="32" spans="1:27" x14ac:dyDescent="0.25">
      <c r="B32" s="13">
        <v>41591</v>
      </c>
      <c r="C32" s="6" t="s">
        <v>36</v>
      </c>
      <c r="D32" s="14">
        <f>21*60</f>
        <v>1260</v>
      </c>
      <c r="E32" s="6">
        <v>0</v>
      </c>
      <c r="F32">
        <v>1</v>
      </c>
      <c r="G32">
        <v>0</v>
      </c>
      <c r="H32" s="43">
        <v>0</v>
      </c>
      <c r="I32" s="15">
        <v>4</v>
      </c>
      <c r="J32" s="15">
        <v>1</v>
      </c>
      <c r="K32" s="15">
        <v>0</v>
      </c>
      <c r="L32" s="15">
        <v>0</v>
      </c>
      <c r="M32" s="6">
        <v>13</v>
      </c>
      <c r="N32" s="15">
        <v>0</v>
      </c>
      <c r="O32" s="15">
        <v>0</v>
      </c>
      <c r="P32" s="15">
        <v>0</v>
      </c>
      <c r="Q32" s="6">
        <v>22</v>
      </c>
      <c r="R32">
        <v>2</v>
      </c>
      <c r="S32">
        <v>0</v>
      </c>
      <c r="T32">
        <v>0</v>
      </c>
      <c r="U32" s="14">
        <f t="shared" si="4"/>
        <v>24</v>
      </c>
      <c r="V32" s="6">
        <v>21</v>
      </c>
      <c r="W32" s="15">
        <v>1</v>
      </c>
      <c r="X32" s="15">
        <v>2</v>
      </c>
      <c r="Y32" s="15">
        <v>0</v>
      </c>
      <c r="Z32" s="14">
        <f t="shared" si="5"/>
        <v>24</v>
      </c>
      <c r="AA32" s="6"/>
    </row>
    <row r="33" spans="1:66" x14ac:dyDescent="0.25">
      <c r="A33" s="27" t="s">
        <v>214</v>
      </c>
      <c r="B33" s="13">
        <v>41591</v>
      </c>
      <c r="C33" s="28" t="s">
        <v>37</v>
      </c>
      <c r="D33" s="29">
        <f>17*60</f>
        <v>1020</v>
      </c>
      <c r="E33" s="28">
        <v>0</v>
      </c>
      <c r="F33" s="29">
        <v>2</v>
      </c>
      <c r="G33" s="29">
        <v>0</v>
      </c>
      <c r="H33" s="76">
        <v>0</v>
      </c>
      <c r="I33" s="30">
        <v>6</v>
      </c>
      <c r="J33" s="30">
        <v>1</v>
      </c>
      <c r="K33" s="30">
        <v>0</v>
      </c>
      <c r="L33" s="30">
        <v>0</v>
      </c>
      <c r="M33" s="28">
        <v>16</v>
      </c>
      <c r="N33" s="30">
        <v>0</v>
      </c>
      <c r="O33" s="30">
        <v>0</v>
      </c>
      <c r="P33" s="30">
        <v>0</v>
      </c>
      <c r="Q33" s="28">
        <v>21</v>
      </c>
      <c r="R33" s="29">
        <v>3</v>
      </c>
      <c r="S33" s="29">
        <v>0</v>
      </c>
      <c r="T33" s="29">
        <v>0</v>
      </c>
      <c r="U33" s="29">
        <f t="shared" si="4"/>
        <v>24</v>
      </c>
      <c r="V33" s="28">
        <v>11</v>
      </c>
      <c r="W33" s="30">
        <v>3</v>
      </c>
      <c r="X33" s="30">
        <v>0</v>
      </c>
      <c r="Y33" s="30">
        <v>0</v>
      </c>
      <c r="Z33" s="29">
        <f t="shared" si="5"/>
        <v>14</v>
      </c>
      <c r="AA33" s="6"/>
    </row>
    <row r="34" spans="1:66" x14ac:dyDescent="0.25">
      <c r="A34" s="27"/>
      <c r="B34" s="27"/>
      <c r="C34" s="16" t="s">
        <v>21</v>
      </c>
      <c r="D34" s="17">
        <f>AVERAGE(D28:D32)</f>
        <v>1260</v>
      </c>
      <c r="E34" s="16"/>
      <c r="F34" s="18"/>
      <c r="G34" s="18"/>
      <c r="H34" s="36"/>
      <c r="I34" s="56"/>
      <c r="J34" s="18"/>
      <c r="K34" s="18"/>
      <c r="L34" s="18"/>
      <c r="M34" s="16"/>
      <c r="N34" s="18"/>
      <c r="O34" s="18"/>
      <c r="P34" s="18"/>
      <c r="Q34" s="16"/>
      <c r="R34" s="18"/>
      <c r="S34" s="18"/>
      <c r="T34" s="18"/>
      <c r="U34" s="18">
        <f>AVERAGE(U28:U33)</f>
        <v>20.833333333333332</v>
      </c>
      <c r="V34" s="16"/>
      <c r="W34" s="18"/>
      <c r="X34" s="18"/>
      <c r="Y34" s="18"/>
      <c r="Z34" s="18">
        <f>AVERAGE(Z28:Z33)</f>
        <v>19.333333333333332</v>
      </c>
      <c r="AA34" s="6"/>
    </row>
    <row r="35" spans="1:66" x14ac:dyDescent="0.25">
      <c r="A35" s="27"/>
      <c r="B35" s="27"/>
      <c r="C35" s="19" t="s">
        <v>12</v>
      </c>
      <c r="D35" s="20"/>
      <c r="E35" s="19"/>
      <c r="F35" s="20"/>
      <c r="G35" s="20"/>
      <c r="H35" s="21"/>
      <c r="I35" s="74"/>
      <c r="J35" s="20"/>
      <c r="K35" s="20"/>
      <c r="L35" s="20"/>
      <c r="M35" s="19"/>
      <c r="N35" s="20"/>
      <c r="O35" s="20"/>
      <c r="P35" s="20"/>
      <c r="Q35" s="19"/>
      <c r="R35" s="20"/>
      <c r="S35" s="20"/>
      <c r="T35" s="20"/>
      <c r="U35" s="22">
        <f>SUM(U28:U33)</f>
        <v>125</v>
      </c>
      <c r="V35" s="19"/>
      <c r="W35" s="20"/>
      <c r="X35" s="20"/>
      <c r="Y35" s="20"/>
      <c r="Z35" s="20">
        <f>SUM(Z28:Z33)</f>
        <v>116</v>
      </c>
      <c r="AA35" s="6"/>
    </row>
    <row r="36" spans="1:66" x14ac:dyDescent="0.25">
      <c r="A36" s="23"/>
      <c r="B36" s="23"/>
      <c r="C36" s="24" t="s">
        <v>38</v>
      </c>
      <c r="D36" s="23"/>
      <c r="E36" s="25"/>
      <c r="F36" s="23"/>
      <c r="G36" s="23"/>
      <c r="H36" s="26"/>
      <c r="I36" s="23"/>
      <c r="J36" s="23"/>
      <c r="K36" s="23"/>
      <c r="L36" s="23"/>
      <c r="M36" s="25"/>
      <c r="N36" s="23"/>
      <c r="O36" s="23"/>
      <c r="P36" s="23"/>
      <c r="Q36" s="25"/>
      <c r="R36" s="23"/>
      <c r="S36" s="23"/>
      <c r="T36" s="23"/>
      <c r="U36" s="23"/>
      <c r="V36" s="25"/>
      <c r="W36" s="23"/>
      <c r="X36" s="23"/>
      <c r="Y36" s="23"/>
      <c r="Z36" s="23"/>
      <c r="AA36" s="25"/>
    </row>
    <row r="37" spans="1:66" x14ac:dyDescent="0.25">
      <c r="A37" s="27"/>
      <c r="B37" s="31">
        <v>41669</v>
      </c>
      <c r="C37" s="6" t="s">
        <v>39</v>
      </c>
      <c r="E37" s="6">
        <v>0</v>
      </c>
      <c r="F37">
        <v>0</v>
      </c>
      <c r="G37">
        <v>0</v>
      </c>
      <c r="H37" s="43">
        <v>0</v>
      </c>
      <c r="I37" s="15">
        <v>9</v>
      </c>
      <c r="J37" s="15">
        <v>0</v>
      </c>
      <c r="K37" s="15">
        <v>11</v>
      </c>
      <c r="L37" s="15">
        <v>0</v>
      </c>
      <c r="M37" s="6">
        <v>19</v>
      </c>
      <c r="N37" s="15">
        <v>1</v>
      </c>
      <c r="O37" s="15">
        <v>1</v>
      </c>
      <c r="P37" s="15">
        <v>0</v>
      </c>
      <c r="Q37" s="6">
        <v>17</v>
      </c>
      <c r="R37">
        <v>2</v>
      </c>
      <c r="S37">
        <v>1</v>
      </c>
      <c r="T37">
        <v>0</v>
      </c>
      <c r="U37" s="14">
        <f t="shared" ref="U37:U42" si="6">SUM(Q37:T37)</f>
        <v>20</v>
      </c>
      <c r="V37" s="6">
        <v>18</v>
      </c>
      <c r="W37" s="15">
        <v>1</v>
      </c>
      <c r="X37" s="15">
        <v>1</v>
      </c>
      <c r="Y37" s="15">
        <v>0</v>
      </c>
      <c r="Z37" s="14">
        <f t="shared" ref="Z37:Z42" si="7">SUM(V37:Y37)</f>
        <v>20</v>
      </c>
      <c r="AA37" s="6"/>
    </row>
    <row r="38" spans="1:66" x14ac:dyDescent="0.25">
      <c r="A38" s="27"/>
      <c r="B38" s="31">
        <v>41669</v>
      </c>
      <c r="C38" s="6" t="s">
        <v>40</v>
      </c>
      <c r="D38" s="14">
        <f>25*60</f>
        <v>1500</v>
      </c>
      <c r="E38" s="6">
        <v>0</v>
      </c>
      <c r="F38">
        <v>0</v>
      </c>
      <c r="G38">
        <v>0</v>
      </c>
      <c r="H38" s="43">
        <v>0</v>
      </c>
      <c r="I38" s="15">
        <v>11</v>
      </c>
      <c r="J38" s="15">
        <v>0</v>
      </c>
      <c r="K38" s="15">
        <v>9</v>
      </c>
      <c r="L38" s="15">
        <v>0</v>
      </c>
      <c r="M38" s="6">
        <v>18</v>
      </c>
      <c r="N38" s="15">
        <v>1</v>
      </c>
      <c r="O38" s="15">
        <v>4</v>
      </c>
      <c r="P38" s="15">
        <v>0</v>
      </c>
      <c r="Q38" s="6">
        <v>16</v>
      </c>
      <c r="R38">
        <v>5</v>
      </c>
      <c r="S38">
        <v>3</v>
      </c>
      <c r="T38">
        <v>0</v>
      </c>
      <c r="U38" s="14">
        <f t="shared" si="6"/>
        <v>24</v>
      </c>
      <c r="V38" s="6">
        <v>16</v>
      </c>
      <c r="W38" s="15">
        <v>5</v>
      </c>
      <c r="X38" s="15">
        <v>5</v>
      </c>
      <c r="Y38" s="15">
        <v>0</v>
      </c>
      <c r="Z38" s="14">
        <f t="shared" si="7"/>
        <v>26</v>
      </c>
      <c r="AA38" s="6"/>
    </row>
    <row r="39" spans="1:66" x14ac:dyDescent="0.25">
      <c r="A39" s="27"/>
      <c r="B39" s="31">
        <v>41669</v>
      </c>
      <c r="C39" s="32" t="s">
        <v>41</v>
      </c>
      <c r="D39" s="33">
        <f>35*60</f>
        <v>2100</v>
      </c>
      <c r="E39" s="32">
        <v>0</v>
      </c>
      <c r="F39" s="33">
        <v>0</v>
      </c>
      <c r="G39" s="33">
        <v>0</v>
      </c>
      <c r="H39" s="43">
        <v>0</v>
      </c>
      <c r="I39" s="27">
        <v>12</v>
      </c>
      <c r="J39" s="15">
        <v>0</v>
      </c>
      <c r="K39" s="15">
        <v>3</v>
      </c>
      <c r="L39" s="15">
        <v>0</v>
      </c>
      <c r="M39" s="32">
        <v>9</v>
      </c>
      <c r="N39" s="15">
        <v>4</v>
      </c>
      <c r="O39" s="15">
        <v>1</v>
      </c>
      <c r="P39" s="15">
        <v>0</v>
      </c>
      <c r="Q39" s="32">
        <v>8</v>
      </c>
      <c r="R39" s="33">
        <v>6</v>
      </c>
      <c r="S39" s="33">
        <v>0</v>
      </c>
      <c r="T39" s="33">
        <v>0</v>
      </c>
      <c r="U39" s="33">
        <f t="shared" si="6"/>
        <v>14</v>
      </c>
      <c r="V39" s="32">
        <v>7</v>
      </c>
      <c r="W39" s="15">
        <v>7</v>
      </c>
      <c r="X39" s="15">
        <v>0</v>
      </c>
      <c r="Y39" s="15">
        <v>0</v>
      </c>
      <c r="Z39" s="33">
        <f t="shared" si="7"/>
        <v>14</v>
      </c>
      <c r="AA39" s="6"/>
      <c r="BN39" s="33"/>
    </row>
    <row r="40" spans="1:66" x14ac:dyDescent="0.25">
      <c r="A40" s="27"/>
      <c r="B40" s="31">
        <v>41669</v>
      </c>
      <c r="C40" s="32" t="s">
        <v>42</v>
      </c>
      <c r="D40" s="33">
        <f>25*60</f>
        <v>1500</v>
      </c>
      <c r="E40" s="32">
        <v>0</v>
      </c>
      <c r="F40" s="33">
        <v>0</v>
      </c>
      <c r="G40" s="33">
        <v>0</v>
      </c>
      <c r="H40" s="43">
        <v>0</v>
      </c>
      <c r="I40" s="27">
        <v>9</v>
      </c>
      <c r="J40" s="15">
        <v>0</v>
      </c>
      <c r="K40" s="15">
        <v>5</v>
      </c>
      <c r="L40" s="15">
        <v>0</v>
      </c>
      <c r="M40" s="32">
        <v>7</v>
      </c>
      <c r="N40" s="15">
        <v>4</v>
      </c>
      <c r="O40" s="15">
        <v>1</v>
      </c>
      <c r="P40" s="15">
        <v>0</v>
      </c>
      <c r="Q40" s="32">
        <v>6</v>
      </c>
      <c r="R40" s="33">
        <v>4</v>
      </c>
      <c r="S40" s="33">
        <v>2</v>
      </c>
      <c r="T40" s="33">
        <v>0</v>
      </c>
      <c r="U40" s="33">
        <f t="shared" si="6"/>
        <v>12</v>
      </c>
      <c r="V40" s="32">
        <v>5</v>
      </c>
      <c r="W40" s="15">
        <v>4</v>
      </c>
      <c r="X40" s="15">
        <v>3</v>
      </c>
      <c r="Y40" s="15">
        <v>0</v>
      </c>
      <c r="Z40" s="33">
        <f t="shared" si="7"/>
        <v>12</v>
      </c>
      <c r="AA40" s="6"/>
    </row>
    <row r="41" spans="1:66" x14ac:dyDescent="0.25">
      <c r="A41" s="27"/>
      <c r="B41" s="31">
        <v>41669</v>
      </c>
      <c r="C41" s="6" t="s">
        <v>43</v>
      </c>
      <c r="D41" s="14">
        <f>25*60</f>
        <v>1500</v>
      </c>
      <c r="E41" s="6">
        <v>0</v>
      </c>
      <c r="F41">
        <v>0</v>
      </c>
      <c r="G41">
        <v>0</v>
      </c>
      <c r="H41" s="43">
        <v>0</v>
      </c>
      <c r="I41" s="15">
        <v>13</v>
      </c>
      <c r="J41" s="15">
        <v>0</v>
      </c>
      <c r="K41" s="15">
        <v>8</v>
      </c>
      <c r="L41" s="15">
        <v>0</v>
      </c>
      <c r="M41" s="6">
        <v>17</v>
      </c>
      <c r="N41" s="15">
        <v>0</v>
      </c>
      <c r="O41" s="15">
        <v>4</v>
      </c>
      <c r="P41" s="15">
        <v>0</v>
      </c>
      <c r="Q41" s="6">
        <v>14</v>
      </c>
      <c r="R41">
        <v>3</v>
      </c>
      <c r="S41">
        <v>4</v>
      </c>
      <c r="T41">
        <v>0</v>
      </c>
      <c r="U41" s="14">
        <f t="shared" si="6"/>
        <v>21</v>
      </c>
      <c r="V41" s="6">
        <v>14</v>
      </c>
      <c r="W41" s="15">
        <v>2</v>
      </c>
      <c r="X41" s="15">
        <v>5</v>
      </c>
      <c r="Y41" s="15">
        <v>0</v>
      </c>
      <c r="Z41" s="14">
        <f t="shared" si="7"/>
        <v>21</v>
      </c>
      <c r="AA41" s="6"/>
    </row>
    <row r="42" spans="1:66" x14ac:dyDescent="0.25">
      <c r="A42" s="27"/>
      <c r="B42" s="31">
        <v>41669</v>
      </c>
      <c r="C42" s="6" t="s">
        <v>44</v>
      </c>
      <c r="D42" s="14">
        <f>35*60</f>
        <v>2100</v>
      </c>
      <c r="E42" s="6">
        <v>0</v>
      </c>
      <c r="F42">
        <v>0</v>
      </c>
      <c r="G42">
        <v>0</v>
      </c>
      <c r="H42" s="43">
        <v>0</v>
      </c>
      <c r="I42" s="15">
        <v>13</v>
      </c>
      <c r="J42" s="15">
        <v>0</v>
      </c>
      <c r="K42" s="15">
        <v>7</v>
      </c>
      <c r="L42" s="15">
        <v>0</v>
      </c>
      <c r="M42" s="6">
        <v>12</v>
      </c>
      <c r="N42" s="15">
        <v>1</v>
      </c>
      <c r="O42" s="15">
        <v>6</v>
      </c>
      <c r="P42" s="15">
        <v>0</v>
      </c>
      <c r="Q42" s="6">
        <v>8</v>
      </c>
      <c r="R42">
        <v>4</v>
      </c>
      <c r="S42">
        <v>6</v>
      </c>
      <c r="T42">
        <v>0</v>
      </c>
      <c r="U42" s="34">
        <f t="shared" si="6"/>
        <v>18</v>
      </c>
      <c r="V42" s="6">
        <v>9</v>
      </c>
      <c r="W42" s="15">
        <v>3</v>
      </c>
      <c r="X42" s="15">
        <v>6</v>
      </c>
      <c r="Y42" s="15">
        <v>0</v>
      </c>
      <c r="Z42" s="14">
        <f t="shared" si="7"/>
        <v>18</v>
      </c>
      <c r="AA42" s="6"/>
    </row>
    <row r="43" spans="1:66" x14ac:dyDescent="0.25">
      <c r="A43" s="27"/>
      <c r="B43" s="27"/>
      <c r="C43" s="16" t="s">
        <v>21</v>
      </c>
      <c r="D43" s="17">
        <f>AVERAGE(D38:D42)</f>
        <v>1740</v>
      </c>
      <c r="E43" s="16"/>
      <c r="F43" s="18"/>
      <c r="G43" s="18"/>
      <c r="H43" s="36"/>
      <c r="I43" s="56"/>
      <c r="J43" s="18"/>
      <c r="K43" s="18"/>
      <c r="L43" s="18"/>
      <c r="M43" s="16"/>
      <c r="N43" s="18"/>
      <c r="O43" s="18"/>
      <c r="P43" s="18"/>
      <c r="Q43" s="16"/>
      <c r="R43" s="18"/>
      <c r="S43" s="18"/>
      <c r="T43" s="18"/>
      <c r="U43" s="18">
        <f>AVERAGE(U37:U42)</f>
        <v>18.166666666666668</v>
      </c>
      <c r="V43" s="16"/>
      <c r="W43" s="18"/>
      <c r="X43" s="18"/>
      <c r="Y43" s="18"/>
      <c r="Z43" s="18">
        <f>AVERAGE(Z37:Z42)</f>
        <v>18.5</v>
      </c>
      <c r="AA43" s="27"/>
    </row>
    <row r="44" spans="1:66" x14ac:dyDescent="0.25">
      <c r="A44" s="27"/>
      <c r="B44" s="27"/>
      <c r="C44" s="19" t="s">
        <v>12</v>
      </c>
      <c r="D44" s="20"/>
      <c r="E44" s="19"/>
      <c r="F44" s="20"/>
      <c r="G44" s="20"/>
      <c r="H44" s="21"/>
      <c r="I44" s="74"/>
      <c r="J44" s="20"/>
      <c r="K44" s="20"/>
      <c r="L44" s="21"/>
      <c r="M44" s="74"/>
      <c r="N44" s="20"/>
      <c r="O44" s="20"/>
      <c r="P44" s="20"/>
      <c r="Q44" s="19"/>
      <c r="R44" s="20"/>
      <c r="S44" s="20"/>
      <c r="T44" s="20"/>
      <c r="U44" s="22">
        <f>SUM(U37:U42)</f>
        <v>109</v>
      </c>
      <c r="V44" s="19"/>
      <c r="W44" s="20"/>
      <c r="X44" s="20"/>
      <c r="Y44" s="20"/>
      <c r="Z44" s="20">
        <f>SUM(Z37:Z42)</f>
        <v>111</v>
      </c>
      <c r="AA44" s="6"/>
    </row>
    <row r="45" spans="1:66" x14ac:dyDescent="0.25">
      <c r="A45" s="23"/>
      <c r="B45" s="23"/>
      <c r="C45" s="24" t="s">
        <v>45</v>
      </c>
      <c r="D45" s="23"/>
      <c r="E45" s="25"/>
      <c r="F45" s="23"/>
      <c r="G45" s="23"/>
      <c r="H45" s="26"/>
      <c r="I45" s="23"/>
      <c r="J45" s="23"/>
      <c r="K45" s="23"/>
      <c r="L45" s="26"/>
      <c r="M45" s="23"/>
      <c r="N45" s="23"/>
      <c r="O45" s="23"/>
      <c r="P45" s="23"/>
      <c r="Q45" s="25"/>
      <c r="R45" s="23"/>
      <c r="S45" s="23"/>
      <c r="T45" s="23"/>
      <c r="U45" s="26"/>
      <c r="V45" s="25"/>
      <c r="W45" s="23"/>
      <c r="X45" s="23"/>
      <c r="Y45" s="23"/>
      <c r="Z45" s="23"/>
      <c r="AA45" s="25"/>
      <c r="AB45" s="23"/>
      <c r="AC45" s="23"/>
    </row>
    <row r="46" spans="1:66" x14ac:dyDescent="0.25">
      <c r="B46" s="13">
        <v>41670</v>
      </c>
      <c r="C46" s="6" t="s">
        <v>46</v>
      </c>
      <c r="D46" s="14">
        <f>60*17</f>
        <v>1020</v>
      </c>
      <c r="E46" s="6">
        <v>0</v>
      </c>
      <c r="F46">
        <v>0</v>
      </c>
      <c r="G46">
        <v>0</v>
      </c>
      <c r="H46" s="43">
        <v>0</v>
      </c>
      <c r="I46" s="15">
        <v>6</v>
      </c>
      <c r="J46" s="15">
        <v>2</v>
      </c>
      <c r="K46" s="15">
        <v>10</v>
      </c>
      <c r="L46" s="43">
        <v>0</v>
      </c>
      <c r="M46" s="15">
        <v>9</v>
      </c>
      <c r="N46" s="15">
        <v>7</v>
      </c>
      <c r="O46" s="15">
        <v>1</v>
      </c>
      <c r="P46" s="15">
        <v>0</v>
      </c>
      <c r="Q46" s="6">
        <v>14</v>
      </c>
      <c r="R46" s="15">
        <v>3</v>
      </c>
      <c r="S46" s="15">
        <v>1</v>
      </c>
      <c r="T46" s="15">
        <v>0</v>
      </c>
      <c r="U46" s="14">
        <f t="shared" ref="U46:U51" si="8">SUM(Q46:T46)</f>
        <v>18</v>
      </c>
      <c r="V46" s="6">
        <v>11</v>
      </c>
      <c r="W46" s="15">
        <v>5</v>
      </c>
      <c r="X46" s="15">
        <v>2</v>
      </c>
      <c r="Y46" s="15">
        <v>0</v>
      </c>
      <c r="Z46" s="14">
        <f t="shared" ref="Z46:Z51" si="9">SUM(V46:Y46)</f>
        <v>18</v>
      </c>
      <c r="AA46" s="6"/>
    </row>
    <row r="47" spans="1:66" x14ac:dyDescent="0.25">
      <c r="B47" s="13">
        <v>41670</v>
      </c>
      <c r="C47" s="6" t="s">
        <v>47</v>
      </c>
      <c r="D47" s="14">
        <f>32*60</f>
        <v>1920</v>
      </c>
      <c r="E47" s="6">
        <v>0</v>
      </c>
      <c r="F47">
        <v>0</v>
      </c>
      <c r="G47">
        <v>0</v>
      </c>
      <c r="H47" s="43">
        <v>0</v>
      </c>
      <c r="I47" s="15">
        <v>5</v>
      </c>
      <c r="J47" s="15">
        <v>5</v>
      </c>
      <c r="K47" s="15">
        <v>10</v>
      </c>
      <c r="L47" s="43">
        <v>0</v>
      </c>
      <c r="M47" s="15">
        <v>13</v>
      </c>
      <c r="N47" s="15">
        <v>3</v>
      </c>
      <c r="O47" s="15">
        <v>3</v>
      </c>
      <c r="P47" s="15">
        <v>0</v>
      </c>
      <c r="Q47" s="6">
        <v>13</v>
      </c>
      <c r="R47" s="15">
        <v>4</v>
      </c>
      <c r="S47" s="15">
        <v>2</v>
      </c>
      <c r="T47" s="15">
        <v>0</v>
      </c>
      <c r="U47" s="14">
        <f t="shared" si="8"/>
        <v>19</v>
      </c>
      <c r="V47" s="6">
        <v>12</v>
      </c>
      <c r="W47" s="15">
        <v>4</v>
      </c>
      <c r="X47" s="15">
        <v>3</v>
      </c>
      <c r="Y47" s="15">
        <v>0</v>
      </c>
      <c r="Z47" s="14">
        <f t="shared" si="9"/>
        <v>19</v>
      </c>
      <c r="AA47" s="6"/>
    </row>
    <row r="48" spans="1:66" x14ac:dyDescent="0.25">
      <c r="B48" s="13">
        <v>41670</v>
      </c>
      <c r="C48" s="6" t="s">
        <v>48</v>
      </c>
      <c r="D48" s="14">
        <f>22*60</f>
        <v>1320</v>
      </c>
      <c r="E48" s="6">
        <v>0</v>
      </c>
      <c r="F48">
        <v>0</v>
      </c>
      <c r="G48">
        <v>0</v>
      </c>
      <c r="H48" s="43">
        <v>0</v>
      </c>
      <c r="I48" s="15">
        <v>7</v>
      </c>
      <c r="J48" s="15">
        <v>7</v>
      </c>
      <c r="K48" s="15">
        <v>4</v>
      </c>
      <c r="L48" s="43">
        <v>0</v>
      </c>
      <c r="M48" s="15">
        <v>11</v>
      </c>
      <c r="N48" s="15">
        <v>4</v>
      </c>
      <c r="O48" s="15">
        <v>2</v>
      </c>
      <c r="P48" s="15">
        <v>0</v>
      </c>
      <c r="Q48" s="6">
        <v>12</v>
      </c>
      <c r="R48" s="15">
        <v>5</v>
      </c>
      <c r="S48" s="15">
        <v>1</v>
      </c>
      <c r="T48" s="15">
        <v>0</v>
      </c>
      <c r="U48" s="14">
        <f t="shared" si="8"/>
        <v>18</v>
      </c>
      <c r="V48" s="6">
        <v>11</v>
      </c>
      <c r="W48" s="15">
        <v>7</v>
      </c>
      <c r="X48" s="15">
        <v>2</v>
      </c>
      <c r="Y48" s="15">
        <v>0</v>
      </c>
      <c r="Z48" s="14">
        <f t="shared" si="9"/>
        <v>20</v>
      </c>
      <c r="AA48" s="6"/>
    </row>
    <row r="49" spans="1:27" x14ac:dyDescent="0.25">
      <c r="B49" s="13">
        <v>41670</v>
      </c>
      <c r="C49" s="6" t="s">
        <v>49</v>
      </c>
      <c r="D49" s="14">
        <f>22*60</f>
        <v>1320</v>
      </c>
      <c r="E49" s="6">
        <v>0</v>
      </c>
      <c r="F49">
        <v>0</v>
      </c>
      <c r="G49">
        <v>0</v>
      </c>
      <c r="H49" s="43">
        <v>0</v>
      </c>
      <c r="I49" s="15">
        <v>6</v>
      </c>
      <c r="J49" s="15">
        <v>3</v>
      </c>
      <c r="K49" s="15">
        <v>9</v>
      </c>
      <c r="L49" s="43">
        <v>0</v>
      </c>
      <c r="M49" s="15">
        <v>14</v>
      </c>
      <c r="N49" s="15">
        <v>4</v>
      </c>
      <c r="O49" s="15">
        <v>2</v>
      </c>
      <c r="P49" s="15">
        <v>0</v>
      </c>
      <c r="Q49" s="6">
        <v>14</v>
      </c>
      <c r="R49" s="15">
        <v>5</v>
      </c>
      <c r="S49" s="15">
        <v>1</v>
      </c>
      <c r="T49" s="15">
        <v>0</v>
      </c>
      <c r="U49" s="14">
        <f t="shared" si="8"/>
        <v>20</v>
      </c>
      <c r="V49" s="6">
        <v>12</v>
      </c>
      <c r="W49" s="15">
        <v>4</v>
      </c>
      <c r="X49" s="15">
        <v>4</v>
      </c>
      <c r="Y49" s="15">
        <v>0</v>
      </c>
      <c r="Z49" s="14">
        <f t="shared" si="9"/>
        <v>20</v>
      </c>
      <c r="AA49" s="6"/>
    </row>
    <row r="50" spans="1:27" x14ac:dyDescent="0.25">
      <c r="B50" s="13">
        <v>41670</v>
      </c>
      <c r="C50" s="6" t="s">
        <v>50</v>
      </c>
      <c r="D50" s="14">
        <f>20*60</f>
        <v>1200</v>
      </c>
      <c r="E50" s="6">
        <v>0</v>
      </c>
      <c r="F50">
        <v>0</v>
      </c>
      <c r="G50">
        <v>0</v>
      </c>
      <c r="H50" s="43">
        <v>0</v>
      </c>
      <c r="I50" s="15">
        <v>15</v>
      </c>
      <c r="J50" s="15">
        <v>3</v>
      </c>
      <c r="K50" s="15">
        <v>4</v>
      </c>
      <c r="L50" s="43">
        <v>0</v>
      </c>
      <c r="M50" s="15">
        <v>16</v>
      </c>
      <c r="N50" s="15">
        <v>2</v>
      </c>
      <c r="O50" s="15">
        <v>4</v>
      </c>
      <c r="P50" s="15">
        <v>0</v>
      </c>
      <c r="Q50" s="6">
        <v>19</v>
      </c>
      <c r="R50" s="15">
        <v>3</v>
      </c>
      <c r="S50" s="15">
        <v>3</v>
      </c>
      <c r="T50" s="15">
        <v>0</v>
      </c>
      <c r="U50" s="14">
        <f t="shared" si="8"/>
        <v>25</v>
      </c>
      <c r="V50" s="6">
        <v>19</v>
      </c>
      <c r="W50" s="15">
        <v>1</v>
      </c>
      <c r="X50" s="15">
        <v>5</v>
      </c>
      <c r="Y50" s="15">
        <v>0</v>
      </c>
      <c r="Z50" s="14">
        <f t="shared" si="9"/>
        <v>25</v>
      </c>
      <c r="AA50" s="6"/>
    </row>
    <row r="51" spans="1:27" x14ac:dyDescent="0.25">
      <c r="A51" s="14"/>
      <c r="B51" s="13">
        <v>41670</v>
      </c>
      <c r="C51" s="6" t="s">
        <v>51</v>
      </c>
      <c r="D51" s="14">
        <f>25*60</f>
        <v>1500</v>
      </c>
      <c r="E51" s="6">
        <v>0</v>
      </c>
      <c r="F51">
        <v>0</v>
      </c>
      <c r="G51">
        <v>0</v>
      </c>
      <c r="H51" s="43">
        <v>0</v>
      </c>
      <c r="I51" s="15">
        <v>7</v>
      </c>
      <c r="J51" s="15">
        <v>4</v>
      </c>
      <c r="K51" s="15">
        <v>8</v>
      </c>
      <c r="L51" s="43">
        <v>0</v>
      </c>
      <c r="M51" s="15">
        <v>10</v>
      </c>
      <c r="N51" s="15">
        <v>4</v>
      </c>
      <c r="O51" s="15">
        <v>7</v>
      </c>
      <c r="P51" s="46">
        <v>0</v>
      </c>
      <c r="Q51" s="6">
        <v>10</v>
      </c>
      <c r="R51" s="15">
        <v>5</v>
      </c>
      <c r="S51" s="15">
        <v>6</v>
      </c>
      <c r="T51" s="15">
        <v>0</v>
      </c>
      <c r="U51" s="14">
        <f t="shared" si="8"/>
        <v>21</v>
      </c>
      <c r="V51" s="6">
        <v>10</v>
      </c>
      <c r="W51" s="15">
        <v>5</v>
      </c>
      <c r="X51" s="15">
        <v>6</v>
      </c>
      <c r="Y51" s="15">
        <v>0</v>
      </c>
      <c r="Z51" s="14">
        <f t="shared" si="9"/>
        <v>21</v>
      </c>
      <c r="AA51" s="6"/>
    </row>
    <row r="52" spans="1:27" x14ac:dyDescent="0.25">
      <c r="A52" s="14"/>
      <c r="C52" s="16" t="s">
        <v>21</v>
      </c>
      <c r="D52" s="17">
        <f>AVERAGE(D46:D51)</f>
        <v>1380</v>
      </c>
      <c r="E52" s="16"/>
      <c r="F52" s="18"/>
      <c r="G52" s="18"/>
      <c r="H52" s="36"/>
      <c r="I52" s="56"/>
      <c r="J52" s="18"/>
      <c r="K52" s="18"/>
      <c r="L52" s="36"/>
      <c r="M52" s="56"/>
      <c r="N52" s="18"/>
      <c r="O52" s="18"/>
      <c r="P52" s="18"/>
      <c r="Q52" s="16"/>
      <c r="R52" s="18"/>
      <c r="S52" s="18"/>
      <c r="T52" s="18"/>
      <c r="U52" s="18">
        <f>AVERAGE(U46:U51)</f>
        <v>20.166666666666668</v>
      </c>
      <c r="V52" s="16"/>
      <c r="W52" s="18"/>
      <c r="X52" s="18"/>
      <c r="Y52" s="18"/>
      <c r="Z52" s="18">
        <f>AVERAGE(Z46:Z51)</f>
        <v>20.5</v>
      </c>
      <c r="AA52" s="6"/>
    </row>
    <row r="53" spans="1:27" x14ac:dyDescent="0.25">
      <c r="C53" s="19" t="s">
        <v>12</v>
      </c>
      <c r="D53" s="20"/>
      <c r="E53" s="19"/>
      <c r="F53" s="20"/>
      <c r="G53" s="20"/>
      <c r="H53" s="21"/>
      <c r="I53" s="74"/>
      <c r="J53" s="20"/>
      <c r="K53" s="20"/>
      <c r="L53" s="21"/>
      <c r="M53" s="74"/>
      <c r="N53" s="20"/>
      <c r="O53" s="20"/>
      <c r="P53" s="20"/>
      <c r="Q53" s="19"/>
      <c r="R53" s="20"/>
      <c r="S53" s="20"/>
      <c r="T53" s="20"/>
      <c r="U53" s="20">
        <f>SUM(U46:U51)</f>
        <v>121</v>
      </c>
      <c r="V53" s="19"/>
      <c r="W53" s="20"/>
      <c r="X53" s="20"/>
      <c r="Y53" s="20"/>
      <c r="Z53" s="20">
        <f>SUM(Z46:Z51)</f>
        <v>123</v>
      </c>
      <c r="AA53" s="6"/>
    </row>
    <row r="54" spans="1:27" x14ac:dyDescent="0.25">
      <c r="A54" s="23"/>
      <c r="B54" s="23"/>
      <c r="C54" s="24" t="s">
        <v>52</v>
      </c>
      <c r="D54" s="23"/>
      <c r="E54" s="25"/>
      <c r="F54" s="23"/>
      <c r="G54" s="23"/>
      <c r="H54" s="26"/>
      <c r="I54" s="23"/>
      <c r="J54" s="23"/>
      <c r="K54" s="23"/>
      <c r="L54" s="26"/>
      <c r="M54" s="23"/>
      <c r="N54" s="23"/>
      <c r="O54" s="23"/>
      <c r="P54" s="23"/>
      <c r="Q54" s="25"/>
      <c r="R54" s="23"/>
      <c r="S54" s="23"/>
      <c r="T54" s="23"/>
      <c r="U54" s="23"/>
      <c r="V54" s="25"/>
      <c r="W54" s="23"/>
      <c r="X54" s="23"/>
      <c r="Y54" s="23"/>
      <c r="Z54" s="23"/>
      <c r="AA54" s="35"/>
    </row>
    <row r="55" spans="1:27" x14ac:dyDescent="0.25">
      <c r="B55" s="13">
        <v>41765</v>
      </c>
      <c r="C55" s="6" t="s">
        <v>53</v>
      </c>
      <c r="D55" s="14">
        <f>26*60</f>
        <v>1560</v>
      </c>
      <c r="E55" s="6">
        <v>0</v>
      </c>
      <c r="F55">
        <v>1</v>
      </c>
      <c r="G55">
        <v>0</v>
      </c>
      <c r="H55" s="43">
        <v>0</v>
      </c>
      <c r="I55" s="15">
        <v>0</v>
      </c>
      <c r="J55" s="15">
        <v>2</v>
      </c>
      <c r="K55" s="15">
        <v>0</v>
      </c>
      <c r="L55" s="43">
        <v>0</v>
      </c>
      <c r="M55" s="15">
        <v>3</v>
      </c>
      <c r="N55" s="15">
        <v>3</v>
      </c>
      <c r="O55" s="15">
        <v>0</v>
      </c>
      <c r="P55" s="15">
        <v>0</v>
      </c>
      <c r="Q55" s="6">
        <v>17</v>
      </c>
      <c r="R55">
        <v>1</v>
      </c>
      <c r="S55">
        <v>0</v>
      </c>
      <c r="T55">
        <v>0</v>
      </c>
      <c r="U55" s="14">
        <f t="shared" ref="U55:U65" si="10">SUM(Q55:T55)</f>
        <v>18</v>
      </c>
      <c r="V55" s="6">
        <v>24</v>
      </c>
      <c r="W55" s="15">
        <v>2</v>
      </c>
      <c r="X55" s="15">
        <v>0</v>
      </c>
      <c r="Y55" s="15">
        <v>0</v>
      </c>
      <c r="Z55" s="14">
        <f t="shared" ref="Z55:Z65" si="11">SUM(V55:Y55)</f>
        <v>26</v>
      </c>
      <c r="AA55" s="6"/>
    </row>
    <row r="56" spans="1:27" x14ac:dyDescent="0.25">
      <c r="B56" s="13">
        <v>41765</v>
      </c>
      <c r="C56" s="6" t="s">
        <v>54</v>
      </c>
      <c r="D56" s="14">
        <f>20*60</f>
        <v>1200</v>
      </c>
      <c r="E56" s="6">
        <v>0</v>
      </c>
      <c r="F56">
        <v>3</v>
      </c>
      <c r="G56">
        <v>0</v>
      </c>
      <c r="H56" s="43">
        <v>0</v>
      </c>
      <c r="I56" s="15">
        <v>2</v>
      </c>
      <c r="J56" s="15">
        <v>3</v>
      </c>
      <c r="K56" s="15">
        <v>0</v>
      </c>
      <c r="L56" s="43">
        <v>0</v>
      </c>
      <c r="M56" s="15">
        <v>7</v>
      </c>
      <c r="N56" s="15">
        <v>4</v>
      </c>
      <c r="O56" s="15">
        <v>0</v>
      </c>
      <c r="P56" s="15">
        <v>0</v>
      </c>
      <c r="Q56" s="6">
        <v>19</v>
      </c>
      <c r="R56">
        <v>0</v>
      </c>
      <c r="S56">
        <v>3</v>
      </c>
      <c r="T56">
        <v>0</v>
      </c>
      <c r="U56" s="14">
        <f t="shared" si="10"/>
        <v>22</v>
      </c>
      <c r="V56" s="6">
        <v>22</v>
      </c>
      <c r="W56" s="15">
        <v>2</v>
      </c>
      <c r="X56" s="15">
        <v>0</v>
      </c>
      <c r="Y56" s="15">
        <v>0</v>
      </c>
      <c r="Z56" s="14">
        <f t="shared" si="11"/>
        <v>24</v>
      </c>
      <c r="AA56" s="6"/>
    </row>
    <row r="57" spans="1:27" x14ac:dyDescent="0.25">
      <c r="B57" s="13">
        <v>41765</v>
      </c>
      <c r="C57" s="6" t="s">
        <v>55</v>
      </c>
      <c r="D57" s="14">
        <f>20.5*60</f>
        <v>1230</v>
      </c>
      <c r="E57" s="6">
        <v>0</v>
      </c>
      <c r="F57">
        <v>0</v>
      </c>
      <c r="G57">
        <v>0</v>
      </c>
      <c r="H57" s="43">
        <v>0</v>
      </c>
      <c r="I57" s="15">
        <v>0</v>
      </c>
      <c r="J57" s="15">
        <v>2</v>
      </c>
      <c r="K57" s="15">
        <v>0</v>
      </c>
      <c r="L57" s="43">
        <v>0</v>
      </c>
      <c r="M57" s="15">
        <v>5</v>
      </c>
      <c r="N57" s="15">
        <v>2</v>
      </c>
      <c r="O57" s="15">
        <v>0</v>
      </c>
      <c r="P57" s="15">
        <v>0</v>
      </c>
      <c r="Q57" s="6">
        <v>15</v>
      </c>
      <c r="R57">
        <v>1</v>
      </c>
      <c r="S57">
        <v>2</v>
      </c>
      <c r="T57">
        <v>0</v>
      </c>
      <c r="U57" s="14">
        <f t="shared" si="10"/>
        <v>18</v>
      </c>
      <c r="V57" s="6">
        <v>17</v>
      </c>
      <c r="W57" s="15">
        <v>1</v>
      </c>
      <c r="X57" s="15">
        <v>1</v>
      </c>
      <c r="Y57" s="15">
        <v>0</v>
      </c>
      <c r="Z57" s="43">
        <f t="shared" si="11"/>
        <v>19</v>
      </c>
      <c r="AA57" s="15"/>
    </row>
    <row r="58" spans="1:27" x14ac:dyDescent="0.25">
      <c r="B58" s="13">
        <v>41765</v>
      </c>
      <c r="C58" s="6" t="s">
        <v>56</v>
      </c>
      <c r="D58" s="14">
        <f>19*60</f>
        <v>1140</v>
      </c>
      <c r="E58" s="6">
        <v>0</v>
      </c>
      <c r="F58">
        <v>0</v>
      </c>
      <c r="G58">
        <v>0</v>
      </c>
      <c r="H58" s="43">
        <v>0</v>
      </c>
      <c r="I58" s="15">
        <v>0</v>
      </c>
      <c r="J58" s="15">
        <v>3</v>
      </c>
      <c r="K58" s="15">
        <v>0</v>
      </c>
      <c r="L58" s="43">
        <v>0</v>
      </c>
      <c r="M58" s="15">
        <v>7</v>
      </c>
      <c r="N58" s="15">
        <v>2</v>
      </c>
      <c r="O58" s="15">
        <v>0</v>
      </c>
      <c r="P58" s="15">
        <v>0</v>
      </c>
      <c r="Q58" s="6">
        <v>17</v>
      </c>
      <c r="R58">
        <v>1</v>
      </c>
      <c r="S58">
        <v>6</v>
      </c>
      <c r="T58">
        <v>0</v>
      </c>
      <c r="U58" s="14">
        <f t="shared" si="10"/>
        <v>24</v>
      </c>
      <c r="V58" s="6">
        <v>20</v>
      </c>
      <c r="W58" s="15">
        <v>3</v>
      </c>
      <c r="X58" s="15">
        <v>1</v>
      </c>
      <c r="Y58" s="15">
        <v>0</v>
      </c>
      <c r="Z58" s="43">
        <f t="shared" si="11"/>
        <v>24</v>
      </c>
    </row>
    <row r="59" spans="1:27" x14ac:dyDescent="0.25">
      <c r="B59" s="13">
        <v>41765</v>
      </c>
      <c r="C59" s="6" t="s">
        <v>57</v>
      </c>
      <c r="D59" s="14">
        <f>14.5*60</f>
        <v>870</v>
      </c>
      <c r="E59" s="6">
        <v>0</v>
      </c>
      <c r="F59">
        <v>1</v>
      </c>
      <c r="G59">
        <v>0</v>
      </c>
      <c r="H59" s="43">
        <v>0</v>
      </c>
      <c r="I59" s="15">
        <v>1</v>
      </c>
      <c r="J59" s="15">
        <v>2</v>
      </c>
      <c r="K59" s="15">
        <v>0</v>
      </c>
      <c r="L59" s="43">
        <v>0</v>
      </c>
      <c r="M59" s="15">
        <v>9</v>
      </c>
      <c r="N59" s="15">
        <v>1</v>
      </c>
      <c r="O59" s="15">
        <v>0</v>
      </c>
      <c r="P59" s="15">
        <v>0</v>
      </c>
      <c r="Q59" s="6">
        <v>17</v>
      </c>
      <c r="R59">
        <v>1</v>
      </c>
      <c r="S59">
        <v>3</v>
      </c>
      <c r="T59">
        <v>0</v>
      </c>
      <c r="U59" s="14">
        <f t="shared" si="10"/>
        <v>21</v>
      </c>
      <c r="V59" s="6">
        <v>16</v>
      </c>
      <c r="W59" s="15">
        <v>5</v>
      </c>
      <c r="X59" s="15">
        <v>0</v>
      </c>
      <c r="Y59" s="15">
        <v>0</v>
      </c>
      <c r="Z59" s="43">
        <f t="shared" si="11"/>
        <v>21</v>
      </c>
    </row>
    <row r="60" spans="1:27" x14ac:dyDescent="0.25">
      <c r="B60" s="13">
        <v>41765</v>
      </c>
      <c r="C60" s="6" t="s">
        <v>58</v>
      </c>
      <c r="D60" s="34">
        <f>20.5*60</f>
        <v>1230</v>
      </c>
      <c r="E60" s="32">
        <v>0</v>
      </c>
      <c r="F60">
        <v>0</v>
      </c>
      <c r="G60">
        <v>0</v>
      </c>
      <c r="H60" s="43">
        <v>0</v>
      </c>
      <c r="I60" s="27">
        <v>1</v>
      </c>
      <c r="J60" s="15">
        <v>2</v>
      </c>
      <c r="K60" s="15">
        <v>0</v>
      </c>
      <c r="L60" s="43">
        <v>0</v>
      </c>
      <c r="M60" s="27">
        <v>6</v>
      </c>
      <c r="N60" s="15">
        <v>4</v>
      </c>
      <c r="O60" s="15">
        <v>0</v>
      </c>
      <c r="P60" s="15">
        <v>0</v>
      </c>
      <c r="Q60" s="32">
        <v>18</v>
      </c>
      <c r="R60">
        <v>2</v>
      </c>
      <c r="S60">
        <v>1</v>
      </c>
      <c r="T60">
        <v>0</v>
      </c>
      <c r="U60" s="14">
        <f t="shared" si="10"/>
        <v>21</v>
      </c>
      <c r="V60" s="32">
        <v>16</v>
      </c>
      <c r="W60" s="15">
        <v>4</v>
      </c>
      <c r="X60" s="15">
        <v>1</v>
      </c>
      <c r="Y60" s="15">
        <v>0</v>
      </c>
      <c r="Z60" s="43">
        <f t="shared" si="11"/>
        <v>21</v>
      </c>
    </row>
    <row r="61" spans="1:27" x14ac:dyDescent="0.25">
      <c r="B61" s="13">
        <v>41765</v>
      </c>
      <c r="C61" s="6" t="s">
        <v>59</v>
      </c>
      <c r="D61" s="34">
        <f>23*60</f>
        <v>1380</v>
      </c>
      <c r="E61" s="32">
        <v>0</v>
      </c>
      <c r="F61">
        <v>0</v>
      </c>
      <c r="G61">
        <v>0</v>
      </c>
      <c r="H61" s="43">
        <v>0</v>
      </c>
      <c r="I61" s="27">
        <v>0</v>
      </c>
      <c r="J61" s="15">
        <v>1</v>
      </c>
      <c r="K61" s="15">
        <v>0</v>
      </c>
      <c r="L61" s="43">
        <v>0</v>
      </c>
      <c r="M61" s="27">
        <v>7</v>
      </c>
      <c r="N61" s="15">
        <v>2</v>
      </c>
      <c r="O61" s="15">
        <v>0</v>
      </c>
      <c r="P61" s="15">
        <v>0</v>
      </c>
      <c r="Q61" s="32">
        <v>23</v>
      </c>
      <c r="R61">
        <v>0</v>
      </c>
      <c r="S61">
        <v>0</v>
      </c>
      <c r="T61">
        <v>0</v>
      </c>
      <c r="U61" s="14">
        <f t="shared" si="10"/>
        <v>23</v>
      </c>
      <c r="V61" s="32">
        <v>19</v>
      </c>
      <c r="W61" s="15">
        <v>1</v>
      </c>
      <c r="X61" s="15">
        <v>0</v>
      </c>
      <c r="Y61" s="15">
        <v>0</v>
      </c>
      <c r="Z61" s="43">
        <f t="shared" si="11"/>
        <v>20</v>
      </c>
    </row>
    <row r="62" spans="1:27" x14ac:dyDescent="0.25">
      <c r="B62" s="13">
        <v>41765</v>
      </c>
      <c r="C62" s="6" t="s">
        <v>60</v>
      </c>
      <c r="D62" s="34">
        <f>25.5*60</f>
        <v>1530</v>
      </c>
      <c r="E62" s="32">
        <v>0</v>
      </c>
      <c r="F62">
        <v>0</v>
      </c>
      <c r="G62">
        <v>0</v>
      </c>
      <c r="H62" s="43">
        <v>0</v>
      </c>
      <c r="I62" s="27">
        <v>0</v>
      </c>
      <c r="J62" s="15">
        <v>2</v>
      </c>
      <c r="K62" s="15">
        <v>0</v>
      </c>
      <c r="L62" s="43">
        <v>0</v>
      </c>
      <c r="M62" s="27">
        <v>4</v>
      </c>
      <c r="N62" s="15">
        <v>2</v>
      </c>
      <c r="O62" s="15">
        <v>0</v>
      </c>
      <c r="P62" s="15">
        <v>0</v>
      </c>
      <c r="Q62" s="32">
        <v>16</v>
      </c>
      <c r="R62">
        <v>3</v>
      </c>
      <c r="S62">
        <v>2</v>
      </c>
      <c r="T62">
        <v>0</v>
      </c>
      <c r="U62" s="14">
        <f t="shared" si="10"/>
        <v>21</v>
      </c>
      <c r="V62" s="32">
        <v>21</v>
      </c>
      <c r="W62" s="15">
        <v>2</v>
      </c>
      <c r="X62" s="15">
        <v>2</v>
      </c>
      <c r="Y62" s="15">
        <v>0</v>
      </c>
      <c r="Z62" s="43">
        <f t="shared" si="11"/>
        <v>25</v>
      </c>
    </row>
    <row r="63" spans="1:27" x14ac:dyDescent="0.25">
      <c r="B63" s="13">
        <v>41765</v>
      </c>
      <c r="C63" s="6" t="s">
        <v>61</v>
      </c>
      <c r="D63" s="34">
        <f>21*60</f>
        <v>1260</v>
      </c>
      <c r="E63" s="32">
        <v>0</v>
      </c>
      <c r="F63">
        <v>0</v>
      </c>
      <c r="G63">
        <v>0</v>
      </c>
      <c r="H63" s="43">
        <v>0</v>
      </c>
      <c r="I63" s="27">
        <v>0</v>
      </c>
      <c r="J63" s="15">
        <v>3</v>
      </c>
      <c r="K63" s="15">
        <v>0</v>
      </c>
      <c r="L63" s="43">
        <v>0</v>
      </c>
      <c r="M63" s="27">
        <v>2</v>
      </c>
      <c r="N63" s="15">
        <v>4</v>
      </c>
      <c r="O63" s="15">
        <v>0</v>
      </c>
      <c r="P63" s="15">
        <v>0</v>
      </c>
      <c r="Q63" s="32">
        <v>17</v>
      </c>
      <c r="R63">
        <v>2</v>
      </c>
      <c r="S63">
        <v>0</v>
      </c>
      <c r="T63">
        <v>0</v>
      </c>
      <c r="U63" s="14">
        <f t="shared" si="10"/>
        <v>19</v>
      </c>
      <c r="V63" s="32">
        <v>19</v>
      </c>
      <c r="W63" s="15">
        <v>0</v>
      </c>
      <c r="X63" s="15">
        <v>0</v>
      </c>
      <c r="Y63" s="15">
        <v>0</v>
      </c>
      <c r="Z63" s="43">
        <f t="shared" si="11"/>
        <v>19</v>
      </c>
    </row>
    <row r="64" spans="1:27" x14ac:dyDescent="0.25">
      <c r="B64" s="13">
        <v>41765</v>
      </c>
      <c r="C64" s="6" t="s">
        <v>62</v>
      </c>
      <c r="D64" s="34">
        <f>22*60</f>
        <v>1320</v>
      </c>
      <c r="E64" s="32">
        <v>0</v>
      </c>
      <c r="F64">
        <v>0</v>
      </c>
      <c r="G64">
        <v>0</v>
      </c>
      <c r="H64" s="43">
        <v>0</v>
      </c>
      <c r="I64" s="27">
        <v>0</v>
      </c>
      <c r="J64" s="15">
        <v>4</v>
      </c>
      <c r="K64" s="15">
        <v>0</v>
      </c>
      <c r="L64" s="43">
        <v>0</v>
      </c>
      <c r="M64" s="27">
        <v>8</v>
      </c>
      <c r="N64" s="15">
        <v>0</v>
      </c>
      <c r="O64" s="15">
        <v>0</v>
      </c>
      <c r="P64" s="15">
        <v>0</v>
      </c>
      <c r="Q64" s="32">
        <v>15</v>
      </c>
      <c r="R64">
        <v>2</v>
      </c>
      <c r="S64">
        <v>1</v>
      </c>
      <c r="T64">
        <v>0</v>
      </c>
      <c r="U64" s="14">
        <f t="shared" si="10"/>
        <v>18</v>
      </c>
      <c r="V64" s="32">
        <v>15</v>
      </c>
      <c r="W64" s="15">
        <v>2</v>
      </c>
      <c r="X64" s="15">
        <v>1</v>
      </c>
      <c r="Y64" s="15">
        <v>0</v>
      </c>
      <c r="Z64" s="43">
        <f t="shared" si="11"/>
        <v>18</v>
      </c>
    </row>
    <row r="65" spans="1:27" x14ac:dyDescent="0.25">
      <c r="A65" s="14"/>
      <c r="B65" s="13">
        <v>41765</v>
      </c>
      <c r="C65" s="6" t="s">
        <v>63</v>
      </c>
      <c r="D65" s="34">
        <f>15*60</f>
        <v>900</v>
      </c>
      <c r="E65" s="32">
        <v>0</v>
      </c>
      <c r="F65">
        <v>0</v>
      </c>
      <c r="G65">
        <v>0</v>
      </c>
      <c r="H65" s="43">
        <v>0</v>
      </c>
      <c r="I65" s="27">
        <v>0</v>
      </c>
      <c r="J65" s="15">
        <v>4</v>
      </c>
      <c r="K65" s="15">
        <v>0</v>
      </c>
      <c r="L65" s="43">
        <v>0</v>
      </c>
      <c r="M65" s="27">
        <v>8</v>
      </c>
      <c r="N65" s="15">
        <v>0</v>
      </c>
      <c r="O65" s="15">
        <v>0</v>
      </c>
      <c r="P65" s="15">
        <v>0</v>
      </c>
      <c r="Q65" s="32">
        <v>16</v>
      </c>
      <c r="R65">
        <v>5</v>
      </c>
      <c r="S65">
        <v>0</v>
      </c>
      <c r="T65">
        <v>0</v>
      </c>
      <c r="U65" s="14">
        <f t="shared" si="10"/>
        <v>21</v>
      </c>
      <c r="V65" s="32">
        <v>13</v>
      </c>
      <c r="W65" s="15">
        <v>5</v>
      </c>
      <c r="X65" s="15">
        <v>3</v>
      </c>
      <c r="Y65" s="15">
        <v>0</v>
      </c>
      <c r="Z65" s="43">
        <f t="shared" si="11"/>
        <v>21</v>
      </c>
    </row>
    <row r="66" spans="1:27" x14ac:dyDescent="0.25">
      <c r="A66" s="14"/>
      <c r="C66" s="16" t="s">
        <v>21</v>
      </c>
      <c r="D66" s="36">
        <f>AVERAGE(D55:D65)</f>
        <v>1238.1818181818182</v>
      </c>
      <c r="E66" s="17"/>
      <c r="F66" s="17"/>
      <c r="G66" s="17"/>
      <c r="H66" s="36"/>
      <c r="I66" s="17"/>
      <c r="J66" s="17"/>
      <c r="K66" s="17"/>
      <c r="L66" s="36"/>
      <c r="M66" s="17"/>
      <c r="N66" s="17"/>
      <c r="O66" s="17"/>
      <c r="P66" s="36"/>
      <c r="Q66" s="17"/>
      <c r="R66" s="17"/>
      <c r="S66" s="17"/>
      <c r="T66" s="17"/>
      <c r="U66" s="17">
        <f>AVERAGE(U55:U65)</f>
        <v>20.545454545454547</v>
      </c>
      <c r="V66" s="17"/>
      <c r="W66" s="17"/>
      <c r="X66" s="17"/>
      <c r="Y66" s="17"/>
      <c r="Z66" s="36">
        <f>AVERAGE(Z55:Z65)</f>
        <v>21.636363636363637</v>
      </c>
    </row>
    <row r="67" spans="1:27" x14ac:dyDescent="0.25">
      <c r="C67" s="22" t="s">
        <v>12</v>
      </c>
      <c r="D67" s="21"/>
      <c r="E67" s="20"/>
      <c r="F67" s="20"/>
      <c r="G67" s="20"/>
      <c r="H67" s="21"/>
      <c r="I67" s="20"/>
      <c r="J67" s="20"/>
      <c r="K67" s="20"/>
      <c r="L67" s="21"/>
      <c r="M67" s="20"/>
      <c r="N67" s="20"/>
      <c r="O67" s="20"/>
      <c r="P67" s="21"/>
      <c r="Q67" s="60"/>
      <c r="R67" s="20"/>
      <c r="S67" s="20"/>
      <c r="T67" s="20"/>
      <c r="U67" s="22">
        <f>SUM(U55:U65)</f>
        <v>226</v>
      </c>
      <c r="V67" s="20"/>
      <c r="W67" s="20"/>
      <c r="X67" s="20"/>
      <c r="Y67" s="22"/>
      <c r="Z67" s="21">
        <f>SUM(Z55:Z65)</f>
        <v>238</v>
      </c>
    </row>
    <row r="68" spans="1:27" x14ac:dyDescent="0.25">
      <c r="A68" s="23"/>
      <c r="B68" s="23"/>
      <c r="C68" s="24" t="s">
        <v>64</v>
      </c>
      <c r="D68" s="23"/>
      <c r="E68" s="25"/>
      <c r="F68" s="23"/>
      <c r="G68" s="23"/>
      <c r="H68" s="26"/>
      <c r="I68" s="23"/>
      <c r="J68" s="23"/>
      <c r="K68" s="23"/>
      <c r="L68" s="26"/>
      <c r="M68" s="23"/>
      <c r="N68" s="23"/>
      <c r="O68" s="23"/>
      <c r="P68" s="26"/>
      <c r="Q68" s="23"/>
      <c r="R68" s="23"/>
      <c r="S68" s="23"/>
      <c r="T68" s="23"/>
      <c r="U68" s="23"/>
      <c r="V68" s="25"/>
      <c r="W68" s="23"/>
      <c r="X68" s="23"/>
      <c r="Y68" s="23"/>
      <c r="Z68" s="26"/>
      <c r="AA68" s="26"/>
    </row>
    <row r="69" spans="1:27" x14ac:dyDescent="0.25">
      <c r="B69" s="13">
        <v>41795</v>
      </c>
      <c r="C69" s="6" t="s">
        <v>65</v>
      </c>
      <c r="D69" s="14">
        <f>60*25</f>
        <v>1500</v>
      </c>
      <c r="E69" s="6">
        <v>0</v>
      </c>
      <c r="F69">
        <v>0</v>
      </c>
      <c r="G69">
        <v>0</v>
      </c>
      <c r="H69" s="43">
        <v>0</v>
      </c>
      <c r="I69" s="15">
        <v>1</v>
      </c>
      <c r="J69" s="15">
        <v>1</v>
      </c>
      <c r="K69" s="15">
        <v>0</v>
      </c>
      <c r="L69" s="43">
        <v>0</v>
      </c>
      <c r="M69" s="15">
        <v>8</v>
      </c>
      <c r="N69" s="15">
        <v>1</v>
      </c>
      <c r="O69" s="15">
        <v>0</v>
      </c>
      <c r="P69" s="43">
        <v>0</v>
      </c>
      <c r="Q69" s="15">
        <v>9</v>
      </c>
      <c r="R69" s="15">
        <v>2</v>
      </c>
      <c r="S69" s="15">
        <v>3</v>
      </c>
      <c r="T69" s="15">
        <v>0</v>
      </c>
      <c r="U69" s="14">
        <f t="shared" ref="U69:U74" si="12">SUM(Q69:T69)</f>
        <v>14</v>
      </c>
      <c r="V69" s="6">
        <v>9</v>
      </c>
      <c r="W69" s="15">
        <v>1</v>
      </c>
      <c r="X69" s="15">
        <v>3</v>
      </c>
      <c r="Y69" s="15">
        <v>0</v>
      </c>
      <c r="Z69" s="43">
        <f t="shared" ref="Z69:Z74" si="13">SUM(V69:Y69)</f>
        <v>13</v>
      </c>
      <c r="AA69" s="15"/>
    </row>
    <row r="70" spans="1:27" x14ac:dyDescent="0.25">
      <c r="B70" s="13">
        <v>41795</v>
      </c>
      <c r="C70" s="6" t="s">
        <v>66</v>
      </c>
      <c r="D70" s="14">
        <f>17*60</f>
        <v>1020</v>
      </c>
      <c r="E70" s="6">
        <v>0</v>
      </c>
      <c r="F70">
        <v>0</v>
      </c>
      <c r="G70">
        <v>0</v>
      </c>
      <c r="H70" s="43">
        <v>0</v>
      </c>
      <c r="I70" s="15">
        <v>1</v>
      </c>
      <c r="J70" s="15">
        <v>0</v>
      </c>
      <c r="K70" s="15">
        <v>0</v>
      </c>
      <c r="L70" s="43">
        <v>0</v>
      </c>
      <c r="M70" s="15">
        <v>3</v>
      </c>
      <c r="N70" s="15">
        <v>3</v>
      </c>
      <c r="O70" s="15">
        <v>0</v>
      </c>
      <c r="P70" s="43">
        <v>0</v>
      </c>
      <c r="Q70" s="15">
        <v>6</v>
      </c>
      <c r="R70" s="15">
        <v>0</v>
      </c>
      <c r="S70" s="15">
        <v>5</v>
      </c>
      <c r="T70" s="15">
        <v>0</v>
      </c>
      <c r="U70" s="14">
        <f t="shared" si="12"/>
        <v>11</v>
      </c>
      <c r="V70" s="6">
        <v>7</v>
      </c>
      <c r="W70" s="15">
        <v>1</v>
      </c>
      <c r="X70" s="15">
        <v>5</v>
      </c>
      <c r="Y70" s="15">
        <v>0</v>
      </c>
      <c r="Z70" s="43">
        <f t="shared" si="13"/>
        <v>13</v>
      </c>
      <c r="AA70" s="15"/>
    </row>
    <row r="71" spans="1:27" x14ac:dyDescent="0.25">
      <c r="B71" s="13">
        <v>41795</v>
      </c>
      <c r="C71" s="6" t="s">
        <v>67</v>
      </c>
      <c r="D71" s="14">
        <f>20*60</f>
        <v>1200</v>
      </c>
      <c r="E71" s="6">
        <v>0</v>
      </c>
      <c r="F71">
        <v>0</v>
      </c>
      <c r="G71">
        <v>0</v>
      </c>
      <c r="H71" s="43">
        <v>0</v>
      </c>
      <c r="I71" s="15">
        <v>2</v>
      </c>
      <c r="J71" s="15">
        <v>0</v>
      </c>
      <c r="K71" s="15">
        <v>0</v>
      </c>
      <c r="L71" s="43">
        <v>0</v>
      </c>
      <c r="M71" s="15">
        <v>4</v>
      </c>
      <c r="N71" s="15">
        <v>2</v>
      </c>
      <c r="O71" s="15">
        <v>0</v>
      </c>
      <c r="P71" s="43">
        <v>0</v>
      </c>
      <c r="Q71" s="15">
        <v>7</v>
      </c>
      <c r="R71" s="15">
        <v>2</v>
      </c>
      <c r="S71" s="15">
        <v>6</v>
      </c>
      <c r="T71" s="15">
        <v>0</v>
      </c>
      <c r="U71" s="14">
        <f t="shared" si="12"/>
        <v>15</v>
      </c>
      <c r="V71" s="6">
        <v>9</v>
      </c>
      <c r="W71" s="15">
        <v>1</v>
      </c>
      <c r="X71" s="15">
        <v>3</v>
      </c>
      <c r="Y71" s="15">
        <v>0</v>
      </c>
      <c r="Z71" s="43">
        <f t="shared" si="13"/>
        <v>13</v>
      </c>
      <c r="AA71" s="15"/>
    </row>
    <row r="72" spans="1:27" x14ac:dyDescent="0.25">
      <c r="B72" s="13">
        <v>41795</v>
      </c>
      <c r="C72" s="6" t="s">
        <v>68</v>
      </c>
      <c r="D72" s="14">
        <f>20*60</f>
        <v>1200</v>
      </c>
      <c r="E72" s="6">
        <v>0</v>
      </c>
      <c r="F72">
        <v>0</v>
      </c>
      <c r="G72">
        <v>0</v>
      </c>
      <c r="H72" s="43">
        <v>0</v>
      </c>
      <c r="I72" s="15">
        <v>0</v>
      </c>
      <c r="J72" s="15">
        <v>1</v>
      </c>
      <c r="K72" s="15">
        <v>0</v>
      </c>
      <c r="L72" s="43">
        <v>0</v>
      </c>
      <c r="M72" s="15">
        <v>0</v>
      </c>
      <c r="N72" s="15">
        <v>2</v>
      </c>
      <c r="O72" s="15">
        <v>0</v>
      </c>
      <c r="P72" s="43">
        <v>0</v>
      </c>
      <c r="Q72" s="15">
        <v>7</v>
      </c>
      <c r="R72" s="15">
        <v>2</v>
      </c>
      <c r="S72" s="15">
        <v>8</v>
      </c>
      <c r="T72" s="15">
        <v>0</v>
      </c>
      <c r="U72" s="14">
        <f t="shared" si="12"/>
        <v>17</v>
      </c>
      <c r="V72" s="6">
        <v>8</v>
      </c>
      <c r="W72" s="15">
        <v>2</v>
      </c>
      <c r="X72" s="15">
        <v>8</v>
      </c>
      <c r="Y72" s="15">
        <v>0</v>
      </c>
      <c r="Z72" s="43">
        <f t="shared" si="13"/>
        <v>18</v>
      </c>
    </row>
    <row r="73" spans="1:27" x14ac:dyDescent="0.25">
      <c r="B73" s="13">
        <v>41795</v>
      </c>
      <c r="C73" s="6" t="s">
        <v>69</v>
      </c>
      <c r="D73" s="14">
        <f>16*60</f>
        <v>960</v>
      </c>
      <c r="E73" s="6">
        <v>0</v>
      </c>
      <c r="F73">
        <v>0</v>
      </c>
      <c r="G73">
        <v>0</v>
      </c>
      <c r="H73" s="43">
        <v>0</v>
      </c>
      <c r="I73" s="15">
        <v>0</v>
      </c>
      <c r="J73" s="15">
        <v>0</v>
      </c>
      <c r="K73" s="15">
        <v>0</v>
      </c>
      <c r="L73" s="43">
        <v>0</v>
      </c>
      <c r="M73" s="15">
        <v>0</v>
      </c>
      <c r="N73" s="15">
        <v>1</v>
      </c>
      <c r="O73" s="15">
        <v>0</v>
      </c>
      <c r="P73" s="43">
        <v>0</v>
      </c>
      <c r="Q73" s="15">
        <v>4</v>
      </c>
      <c r="R73" s="15">
        <v>0</v>
      </c>
      <c r="S73" s="15">
        <v>10</v>
      </c>
      <c r="T73" s="15">
        <v>0</v>
      </c>
      <c r="U73" s="14">
        <f t="shared" si="12"/>
        <v>14</v>
      </c>
      <c r="V73" s="6">
        <v>5</v>
      </c>
      <c r="W73" s="15">
        <v>1</v>
      </c>
      <c r="X73" s="15">
        <v>7</v>
      </c>
      <c r="Y73" s="15">
        <v>0</v>
      </c>
      <c r="Z73" s="43">
        <f t="shared" si="13"/>
        <v>13</v>
      </c>
    </row>
    <row r="74" spans="1:27" x14ac:dyDescent="0.25">
      <c r="B74" s="13">
        <v>41795</v>
      </c>
      <c r="C74" s="6" t="s">
        <v>70</v>
      </c>
      <c r="D74" s="34">
        <f>31*60</f>
        <v>1860</v>
      </c>
      <c r="E74" s="32">
        <v>0</v>
      </c>
      <c r="F74">
        <v>0</v>
      </c>
      <c r="G74">
        <v>0</v>
      </c>
      <c r="H74" s="43">
        <v>0</v>
      </c>
      <c r="I74" s="27">
        <v>2</v>
      </c>
      <c r="J74" s="15">
        <v>1</v>
      </c>
      <c r="K74" s="15">
        <v>0</v>
      </c>
      <c r="L74" s="43">
        <v>0</v>
      </c>
      <c r="M74" s="27">
        <v>8</v>
      </c>
      <c r="N74" s="15">
        <v>0</v>
      </c>
      <c r="O74" s="15">
        <v>0</v>
      </c>
      <c r="P74" s="43">
        <v>0</v>
      </c>
      <c r="Q74" s="27">
        <v>10</v>
      </c>
      <c r="R74" s="15">
        <v>0</v>
      </c>
      <c r="S74" s="15">
        <v>8</v>
      </c>
      <c r="T74" s="15">
        <v>0</v>
      </c>
      <c r="U74" s="14">
        <f t="shared" si="12"/>
        <v>18</v>
      </c>
      <c r="V74" s="32">
        <v>10</v>
      </c>
      <c r="W74" s="15">
        <v>0</v>
      </c>
      <c r="X74" s="15">
        <v>7</v>
      </c>
      <c r="Y74" s="15">
        <v>0</v>
      </c>
      <c r="Z74" s="43">
        <f t="shared" si="13"/>
        <v>17</v>
      </c>
    </row>
    <row r="75" spans="1:27" x14ac:dyDescent="0.25">
      <c r="C75" s="16" t="s">
        <v>21</v>
      </c>
      <c r="D75" s="36">
        <f>AVERAGE(D69:D74)</f>
        <v>1290</v>
      </c>
      <c r="E75" s="18"/>
      <c r="F75" s="18"/>
      <c r="G75" s="18"/>
      <c r="H75" s="36"/>
      <c r="I75" s="18"/>
      <c r="J75" s="18"/>
      <c r="K75" s="18"/>
      <c r="L75" s="36"/>
      <c r="M75" s="18"/>
      <c r="N75" s="18"/>
      <c r="O75" s="18"/>
      <c r="P75" s="36"/>
      <c r="Q75" s="18"/>
      <c r="R75" s="18"/>
      <c r="S75" s="18"/>
      <c r="T75" s="18"/>
      <c r="U75" s="36">
        <f>AVERAGE(U69:U74)</f>
        <v>14.833333333333334</v>
      </c>
      <c r="V75" s="18"/>
      <c r="W75" s="18"/>
      <c r="X75" s="18"/>
      <c r="Y75" s="18"/>
      <c r="Z75" s="36">
        <f>AVERAGE(Z69:Z74)</f>
        <v>14.5</v>
      </c>
    </row>
    <row r="76" spans="1:27" x14ac:dyDescent="0.25">
      <c r="C76" s="22" t="s">
        <v>12</v>
      </c>
      <c r="D76" s="21"/>
      <c r="E76" s="20"/>
      <c r="F76" s="20"/>
      <c r="G76" s="20"/>
      <c r="H76" s="21"/>
      <c r="I76" s="20"/>
      <c r="J76" s="20"/>
      <c r="K76" s="20"/>
      <c r="L76" s="21"/>
      <c r="M76" s="20"/>
      <c r="N76" s="20"/>
      <c r="O76" s="20"/>
      <c r="P76" s="21"/>
      <c r="Q76" s="60"/>
      <c r="R76" s="20"/>
      <c r="S76" s="20"/>
      <c r="T76" s="20"/>
      <c r="U76" s="22">
        <f>SUM(U69:U74)</f>
        <v>89</v>
      </c>
      <c r="V76" s="20"/>
      <c r="W76" s="20"/>
      <c r="X76" s="20"/>
      <c r="Y76" s="22"/>
      <c r="Z76" s="21">
        <f>SUM(Z69:Z74)</f>
        <v>87</v>
      </c>
    </row>
    <row r="77" spans="1:27" x14ac:dyDescent="0.25">
      <c r="A77" s="23"/>
      <c r="B77" s="23"/>
      <c r="C77" s="24" t="s">
        <v>71</v>
      </c>
      <c r="D77" s="23"/>
      <c r="E77" s="25"/>
      <c r="F77" s="23"/>
      <c r="G77" s="23"/>
      <c r="H77" s="26"/>
      <c r="I77" s="23"/>
      <c r="J77" s="23"/>
      <c r="K77" s="23"/>
      <c r="L77" s="26"/>
      <c r="M77" s="23"/>
      <c r="N77" s="23"/>
      <c r="O77" s="23"/>
      <c r="P77" s="26"/>
      <c r="Q77" s="23"/>
      <c r="R77" s="23"/>
      <c r="S77" s="23"/>
      <c r="T77" s="23"/>
      <c r="U77" s="23"/>
      <c r="V77" s="25"/>
      <c r="W77" s="23"/>
      <c r="X77" s="23"/>
      <c r="Y77" s="23"/>
      <c r="Z77" s="26"/>
      <c r="AA77" s="26"/>
    </row>
    <row r="78" spans="1:27" x14ac:dyDescent="0.25">
      <c r="B78" s="13">
        <v>41830</v>
      </c>
      <c r="C78" s="6" t="s">
        <v>72</v>
      </c>
      <c r="D78" s="43">
        <f>12.5*60</f>
        <v>750</v>
      </c>
      <c r="H78" s="43"/>
      <c r="I78" s="15">
        <v>0</v>
      </c>
      <c r="J78">
        <v>0</v>
      </c>
      <c r="K78">
        <v>0</v>
      </c>
      <c r="L78" s="43">
        <v>0</v>
      </c>
      <c r="M78" s="15">
        <v>0</v>
      </c>
      <c r="N78" s="15">
        <v>1</v>
      </c>
      <c r="O78" s="15">
        <v>13</v>
      </c>
      <c r="P78" s="43">
        <v>0</v>
      </c>
      <c r="Q78" s="15">
        <v>4</v>
      </c>
      <c r="R78" s="15">
        <v>2</v>
      </c>
      <c r="S78" s="15">
        <v>8</v>
      </c>
      <c r="T78" s="15">
        <v>0</v>
      </c>
      <c r="U78" s="14">
        <f t="shared" ref="U78:U83" si="14">SUM(Q78:T78)</f>
        <v>14</v>
      </c>
      <c r="V78" s="6">
        <v>5</v>
      </c>
      <c r="W78" s="15">
        <v>0</v>
      </c>
      <c r="X78" s="15">
        <v>9</v>
      </c>
      <c r="Y78" s="15">
        <v>0</v>
      </c>
      <c r="Z78" s="43">
        <f t="shared" ref="Z78:Z83" si="15">SUM(V78:Y78)</f>
        <v>14</v>
      </c>
      <c r="AA78" s="15"/>
    </row>
    <row r="79" spans="1:27" x14ac:dyDescent="0.25">
      <c r="B79" s="13">
        <v>41830</v>
      </c>
      <c r="C79" s="6" t="s">
        <v>73</v>
      </c>
      <c r="D79" s="14">
        <f>20*60</f>
        <v>1200</v>
      </c>
      <c r="E79" s="6"/>
      <c r="H79" s="43"/>
      <c r="I79" s="15">
        <v>0</v>
      </c>
      <c r="J79" s="15">
        <v>0</v>
      </c>
      <c r="K79" s="15">
        <v>0</v>
      </c>
      <c r="L79" s="43">
        <v>0</v>
      </c>
      <c r="M79" s="15">
        <v>1</v>
      </c>
      <c r="N79" s="15">
        <v>2</v>
      </c>
      <c r="O79" s="15">
        <v>15</v>
      </c>
      <c r="P79" s="43">
        <v>0</v>
      </c>
      <c r="Q79" s="15">
        <v>8</v>
      </c>
      <c r="R79" s="15">
        <v>2</v>
      </c>
      <c r="S79" s="15">
        <v>8</v>
      </c>
      <c r="T79" s="15">
        <v>0</v>
      </c>
      <c r="U79" s="14">
        <f t="shared" si="14"/>
        <v>18</v>
      </c>
      <c r="V79" s="6">
        <v>8</v>
      </c>
      <c r="W79" s="15">
        <v>0</v>
      </c>
      <c r="X79" s="15">
        <v>10</v>
      </c>
      <c r="Y79" s="15">
        <v>0</v>
      </c>
      <c r="Z79" s="43">
        <f t="shared" si="15"/>
        <v>18</v>
      </c>
      <c r="AA79" s="15"/>
    </row>
    <row r="80" spans="1:27" x14ac:dyDescent="0.25">
      <c r="B80" s="13">
        <v>41830</v>
      </c>
      <c r="C80" s="6" t="s">
        <v>74</v>
      </c>
      <c r="D80" s="14">
        <f>15*60</f>
        <v>900</v>
      </c>
      <c r="E80" s="6"/>
      <c r="H80" s="43"/>
      <c r="I80" s="15">
        <v>0</v>
      </c>
      <c r="J80" s="15">
        <v>0</v>
      </c>
      <c r="K80" s="15">
        <v>0</v>
      </c>
      <c r="L80" s="43">
        <v>0</v>
      </c>
      <c r="M80" s="15">
        <v>1</v>
      </c>
      <c r="N80" s="15">
        <v>2</v>
      </c>
      <c r="O80" s="15">
        <v>13</v>
      </c>
      <c r="P80" s="43">
        <v>0</v>
      </c>
      <c r="Q80" s="15">
        <v>8</v>
      </c>
      <c r="R80" s="15">
        <v>0</v>
      </c>
      <c r="S80" s="15">
        <v>8</v>
      </c>
      <c r="T80" s="15">
        <v>0</v>
      </c>
      <c r="U80" s="14">
        <f t="shared" si="14"/>
        <v>16</v>
      </c>
      <c r="V80" s="6">
        <v>9</v>
      </c>
      <c r="W80" s="15">
        <v>1</v>
      </c>
      <c r="X80" s="15">
        <v>6</v>
      </c>
      <c r="Y80" s="15">
        <v>0</v>
      </c>
      <c r="Z80" s="43">
        <f t="shared" si="15"/>
        <v>16</v>
      </c>
      <c r="AA80" s="15"/>
    </row>
    <row r="81" spans="1:52" x14ac:dyDescent="0.25">
      <c r="B81" s="13">
        <v>41830</v>
      </c>
      <c r="C81" s="6" t="s">
        <v>75</v>
      </c>
      <c r="D81" s="14">
        <f>22*60</f>
        <v>1320</v>
      </c>
      <c r="E81" s="6"/>
      <c r="H81" s="43"/>
      <c r="I81" s="15">
        <v>0</v>
      </c>
      <c r="J81" s="15">
        <v>0</v>
      </c>
      <c r="K81" s="15">
        <v>0</v>
      </c>
      <c r="L81" s="43">
        <v>0</v>
      </c>
      <c r="M81" s="15">
        <v>0</v>
      </c>
      <c r="N81" s="15">
        <v>0</v>
      </c>
      <c r="O81" s="15">
        <v>17</v>
      </c>
      <c r="P81" s="43">
        <v>0</v>
      </c>
      <c r="Q81" s="15">
        <v>2</v>
      </c>
      <c r="R81" s="15">
        <v>3</v>
      </c>
      <c r="S81" s="15">
        <v>10</v>
      </c>
      <c r="T81" s="15">
        <v>0</v>
      </c>
      <c r="U81" s="14">
        <f t="shared" si="14"/>
        <v>15</v>
      </c>
      <c r="V81" s="6">
        <v>2</v>
      </c>
      <c r="W81" s="15">
        <v>3</v>
      </c>
      <c r="X81" s="15">
        <v>10</v>
      </c>
      <c r="Y81" s="15">
        <v>0</v>
      </c>
      <c r="Z81" s="43">
        <f t="shared" si="15"/>
        <v>15</v>
      </c>
    </row>
    <row r="82" spans="1:52" x14ac:dyDescent="0.25">
      <c r="B82" s="13">
        <v>41830</v>
      </c>
      <c r="C82" s="6" t="s">
        <v>76</v>
      </c>
      <c r="D82" s="14">
        <f>13*60</f>
        <v>780</v>
      </c>
      <c r="E82" s="6"/>
      <c r="H82" s="43"/>
      <c r="I82" s="15">
        <v>0</v>
      </c>
      <c r="J82" s="15">
        <v>0</v>
      </c>
      <c r="K82" s="15">
        <v>0</v>
      </c>
      <c r="L82" s="43">
        <v>0</v>
      </c>
      <c r="M82" s="15">
        <v>0</v>
      </c>
      <c r="N82" s="15">
        <v>1</v>
      </c>
      <c r="O82" s="15">
        <v>12</v>
      </c>
      <c r="P82" s="43">
        <v>0</v>
      </c>
      <c r="Q82" s="15">
        <v>1</v>
      </c>
      <c r="R82" s="15">
        <v>1</v>
      </c>
      <c r="S82" s="15">
        <v>13</v>
      </c>
      <c r="T82" s="15">
        <v>0</v>
      </c>
      <c r="U82" s="14">
        <f t="shared" si="14"/>
        <v>15</v>
      </c>
      <c r="V82" s="6">
        <v>1</v>
      </c>
      <c r="W82" s="15">
        <v>0</v>
      </c>
      <c r="X82" s="15">
        <v>14</v>
      </c>
      <c r="Y82" s="15">
        <v>0</v>
      </c>
      <c r="Z82" s="43">
        <f t="shared" si="15"/>
        <v>15</v>
      </c>
    </row>
    <row r="83" spans="1:52" x14ac:dyDescent="0.25">
      <c r="B83" s="13">
        <v>41830</v>
      </c>
      <c r="C83" s="6" t="s">
        <v>77</v>
      </c>
      <c r="D83" s="34">
        <f>18*60</f>
        <v>1080</v>
      </c>
      <c r="E83" s="32"/>
      <c r="H83" s="43"/>
      <c r="I83" s="27">
        <v>0</v>
      </c>
      <c r="J83" s="15">
        <v>1</v>
      </c>
      <c r="K83" s="15">
        <v>0</v>
      </c>
      <c r="L83" s="43">
        <v>0</v>
      </c>
      <c r="M83" s="27">
        <v>0</v>
      </c>
      <c r="N83" s="15">
        <v>0</v>
      </c>
      <c r="O83" s="15">
        <v>18</v>
      </c>
      <c r="P83" s="43">
        <v>0</v>
      </c>
      <c r="Q83" s="27">
        <v>1</v>
      </c>
      <c r="R83" s="15">
        <v>2</v>
      </c>
      <c r="S83" s="15">
        <v>14</v>
      </c>
      <c r="T83" s="15">
        <v>0</v>
      </c>
      <c r="U83" s="14">
        <f t="shared" si="14"/>
        <v>17</v>
      </c>
      <c r="V83" s="32">
        <v>2</v>
      </c>
      <c r="W83" s="15">
        <v>1</v>
      </c>
      <c r="X83" s="15">
        <v>14</v>
      </c>
      <c r="Y83" s="15">
        <v>0</v>
      </c>
      <c r="Z83" s="43">
        <f t="shared" si="15"/>
        <v>17</v>
      </c>
      <c r="AE83" s="33"/>
      <c r="AF83" s="33"/>
      <c r="AG83" s="33"/>
      <c r="AH83" s="33"/>
      <c r="AI83" s="33"/>
      <c r="AJ83" s="33"/>
      <c r="AK83" s="33"/>
      <c r="AL83" s="33"/>
      <c r="AM83" s="33"/>
    </row>
    <row r="84" spans="1:52" x14ac:dyDescent="0.25">
      <c r="C84" s="16" t="s">
        <v>21</v>
      </c>
      <c r="D84" s="36">
        <f>AVERAGE(D78:D83)</f>
        <v>1005</v>
      </c>
      <c r="E84" s="18"/>
      <c r="F84" s="18"/>
      <c r="G84" s="18"/>
      <c r="H84" s="36"/>
      <c r="I84" s="18"/>
      <c r="J84" s="18"/>
      <c r="K84" s="18"/>
      <c r="L84" s="36"/>
      <c r="M84" s="18"/>
      <c r="N84" s="18"/>
      <c r="O84" s="18"/>
      <c r="P84" s="36"/>
      <c r="Q84" s="18"/>
      <c r="R84" s="18"/>
      <c r="S84" s="18"/>
      <c r="T84" s="18"/>
      <c r="U84" s="36">
        <f>AVERAGE(U78:U83)</f>
        <v>15.833333333333334</v>
      </c>
      <c r="V84" s="18"/>
      <c r="W84" s="18"/>
      <c r="X84" s="18"/>
      <c r="Y84" s="18"/>
      <c r="Z84" s="36">
        <f>AVERAGE(Z78:Z83)</f>
        <v>15.833333333333334</v>
      </c>
      <c r="AE84" s="33"/>
      <c r="AF84" s="33"/>
      <c r="AG84" s="33"/>
      <c r="AH84" s="33"/>
      <c r="AI84" s="33"/>
      <c r="AJ84" s="33"/>
      <c r="AK84" s="33"/>
      <c r="AL84" s="33"/>
      <c r="AM84" s="33"/>
    </row>
    <row r="85" spans="1:52" x14ac:dyDescent="0.25">
      <c r="C85" s="22" t="s">
        <v>12</v>
      </c>
      <c r="D85" s="21"/>
      <c r="E85" s="20"/>
      <c r="F85" s="20"/>
      <c r="G85" s="20"/>
      <c r="H85" s="21"/>
      <c r="I85" s="20"/>
      <c r="J85" s="20"/>
      <c r="K85" s="20"/>
      <c r="L85" s="21"/>
      <c r="M85" s="20"/>
      <c r="N85" s="20"/>
      <c r="O85" s="20"/>
      <c r="P85" s="21"/>
      <c r="Q85" s="60"/>
      <c r="R85" s="20"/>
      <c r="S85" s="20"/>
      <c r="T85" s="20"/>
      <c r="U85" s="22">
        <f>SUM(U78:U83)</f>
        <v>95</v>
      </c>
      <c r="V85" s="20"/>
      <c r="W85" s="20"/>
      <c r="X85" s="20"/>
      <c r="Y85" s="22"/>
      <c r="Z85" s="21">
        <f>SUM(Z78:Z83)</f>
        <v>95</v>
      </c>
      <c r="AE85" s="33"/>
      <c r="AF85" s="33"/>
      <c r="AG85" s="33"/>
      <c r="AH85" s="33"/>
      <c r="AI85" s="33"/>
      <c r="AJ85" s="33"/>
      <c r="AK85" s="33"/>
      <c r="AL85" s="33"/>
      <c r="AM85" s="33"/>
    </row>
    <row r="86" spans="1:52" x14ac:dyDescent="0.25">
      <c r="A86" s="23"/>
      <c r="B86" s="23"/>
      <c r="C86" s="24" t="s">
        <v>78</v>
      </c>
      <c r="D86" s="23"/>
      <c r="E86" s="25"/>
      <c r="F86" s="23"/>
      <c r="G86" s="23"/>
      <c r="H86" s="26"/>
      <c r="I86" s="23"/>
      <c r="J86" s="23"/>
      <c r="K86" s="23"/>
      <c r="L86" s="26"/>
      <c r="M86" s="23"/>
      <c r="N86" s="23"/>
      <c r="O86" s="23"/>
      <c r="P86" s="26"/>
      <c r="Q86" s="23"/>
      <c r="R86" s="23"/>
      <c r="S86" s="23"/>
      <c r="T86" s="23"/>
      <c r="U86" s="23"/>
      <c r="V86" s="25"/>
      <c r="W86" s="23"/>
      <c r="X86" s="23"/>
      <c r="Y86" s="23"/>
      <c r="Z86" s="26"/>
      <c r="AA86" s="26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</row>
    <row r="87" spans="1:52" x14ac:dyDescent="0.25">
      <c r="A87" s="38" t="s">
        <v>215</v>
      </c>
      <c r="B87" s="39">
        <v>42052</v>
      </c>
      <c r="C87" s="40" t="s">
        <v>79</v>
      </c>
      <c r="D87" s="38"/>
      <c r="E87" s="38"/>
      <c r="F87" s="38"/>
      <c r="G87" s="38"/>
      <c r="H87" s="49"/>
      <c r="I87" s="75"/>
      <c r="J87" s="38"/>
      <c r="K87" s="38"/>
      <c r="L87" s="49"/>
      <c r="M87" s="75"/>
      <c r="N87" s="41"/>
      <c r="O87" s="41"/>
      <c r="P87" s="77"/>
      <c r="Q87" s="75"/>
      <c r="R87" s="41"/>
      <c r="S87" s="41"/>
      <c r="T87" s="41"/>
      <c r="U87" s="38">
        <f t="shared" ref="U87:U92" si="16">SUM(Q87:T87)</f>
        <v>0</v>
      </c>
      <c r="V87" s="40"/>
      <c r="W87" s="41"/>
      <c r="X87" s="41"/>
      <c r="Y87" s="41"/>
      <c r="Z87" s="49">
        <f t="shared" ref="Z87:Z92" si="17">SUM(V87:Y87)</f>
        <v>0</v>
      </c>
      <c r="AA87" s="15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</row>
    <row r="88" spans="1:52" x14ac:dyDescent="0.25">
      <c r="B88" s="13">
        <v>42052</v>
      </c>
      <c r="C88" s="6" t="s">
        <v>80</v>
      </c>
      <c r="D88" s="14">
        <f>24*60</f>
        <v>1440</v>
      </c>
      <c r="E88" s="6"/>
      <c r="H88" s="43"/>
      <c r="I88" s="15">
        <v>0</v>
      </c>
      <c r="J88" s="15">
        <v>2</v>
      </c>
      <c r="K88" s="15">
        <v>14</v>
      </c>
      <c r="L88" s="43">
        <v>0</v>
      </c>
      <c r="M88" s="15">
        <v>0</v>
      </c>
      <c r="N88" s="15">
        <v>3</v>
      </c>
      <c r="O88" s="15">
        <v>13</v>
      </c>
      <c r="P88" s="43">
        <v>0</v>
      </c>
      <c r="Q88" s="15">
        <v>0</v>
      </c>
      <c r="R88" s="15">
        <v>5</v>
      </c>
      <c r="S88" s="15">
        <v>14</v>
      </c>
      <c r="T88" s="15">
        <v>0</v>
      </c>
      <c r="U88" s="14">
        <f t="shared" si="16"/>
        <v>19</v>
      </c>
      <c r="V88" s="6">
        <v>0</v>
      </c>
      <c r="W88" s="15">
        <v>6</v>
      </c>
      <c r="X88" s="15">
        <v>12</v>
      </c>
      <c r="Y88" s="15">
        <v>0</v>
      </c>
      <c r="Z88" s="43">
        <f t="shared" si="17"/>
        <v>18</v>
      </c>
      <c r="AA88" s="15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</row>
    <row r="89" spans="1:52" x14ac:dyDescent="0.25">
      <c r="A89" t="s">
        <v>216</v>
      </c>
      <c r="B89" s="51">
        <v>42052</v>
      </c>
      <c r="C89" s="6" t="s">
        <v>81</v>
      </c>
      <c r="D89" s="14">
        <f>25.5*60</f>
        <v>1530</v>
      </c>
      <c r="E89" s="6"/>
      <c r="H89" s="43"/>
      <c r="I89" s="15">
        <v>0</v>
      </c>
      <c r="J89" s="15">
        <v>2</v>
      </c>
      <c r="K89" s="15">
        <v>15</v>
      </c>
      <c r="L89" s="43">
        <v>0</v>
      </c>
      <c r="M89" s="15">
        <v>0</v>
      </c>
      <c r="N89" s="15">
        <v>3</v>
      </c>
      <c r="O89" s="15">
        <v>14</v>
      </c>
      <c r="P89" s="43">
        <v>0</v>
      </c>
      <c r="Q89" s="15">
        <v>0</v>
      </c>
      <c r="R89" s="15">
        <v>5</v>
      </c>
      <c r="S89" s="15">
        <v>11</v>
      </c>
      <c r="T89" s="15">
        <v>0</v>
      </c>
      <c r="U89" s="14">
        <f t="shared" si="16"/>
        <v>16</v>
      </c>
      <c r="V89" s="6">
        <v>0</v>
      </c>
      <c r="W89" s="15">
        <v>3</v>
      </c>
      <c r="X89" s="15">
        <v>9</v>
      </c>
      <c r="Y89" s="15">
        <v>0</v>
      </c>
      <c r="Z89" s="43">
        <f t="shared" si="17"/>
        <v>12</v>
      </c>
      <c r="AA89" s="15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</row>
    <row r="90" spans="1:52" x14ac:dyDescent="0.25">
      <c r="A90" t="s">
        <v>217</v>
      </c>
      <c r="B90" s="51">
        <v>42052</v>
      </c>
      <c r="C90" s="6" t="s">
        <v>82</v>
      </c>
      <c r="D90" s="14">
        <f>29*60</f>
        <v>1740</v>
      </c>
      <c r="E90" s="6"/>
      <c r="H90" s="43"/>
      <c r="I90" s="15">
        <v>0</v>
      </c>
      <c r="J90" s="15">
        <v>0</v>
      </c>
      <c r="K90" s="15">
        <v>18</v>
      </c>
      <c r="L90" s="43">
        <v>0</v>
      </c>
      <c r="M90" s="15">
        <v>0</v>
      </c>
      <c r="N90" s="15">
        <v>1</v>
      </c>
      <c r="O90" s="15">
        <v>11</v>
      </c>
      <c r="P90" s="43">
        <v>0</v>
      </c>
      <c r="Q90" s="15">
        <v>0</v>
      </c>
      <c r="R90" s="15">
        <v>3</v>
      </c>
      <c r="S90" s="15">
        <v>10</v>
      </c>
      <c r="T90" s="15">
        <v>0</v>
      </c>
      <c r="U90" s="14">
        <f t="shared" si="16"/>
        <v>13</v>
      </c>
      <c r="V90" s="6">
        <v>0</v>
      </c>
      <c r="W90" s="15">
        <v>4</v>
      </c>
      <c r="X90" s="15">
        <v>8</v>
      </c>
      <c r="Y90" s="15">
        <v>0</v>
      </c>
      <c r="Z90" s="43">
        <f t="shared" si="17"/>
        <v>12</v>
      </c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</row>
    <row r="91" spans="1:52" x14ac:dyDescent="0.25">
      <c r="B91" s="51">
        <v>42052</v>
      </c>
      <c r="C91" s="6" t="s">
        <v>83</v>
      </c>
      <c r="D91" s="14">
        <f>23*60</f>
        <v>1380</v>
      </c>
      <c r="E91" s="6"/>
      <c r="H91" s="43"/>
      <c r="I91" s="15">
        <v>0</v>
      </c>
      <c r="J91" s="15">
        <v>2</v>
      </c>
      <c r="K91" s="15">
        <v>16</v>
      </c>
      <c r="L91" s="43">
        <v>0</v>
      </c>
      <c r="M91" s="15">
        <v>0</v>
      </c>
      <c r="N91" s="15">
        <v>3</v>
      </c>
      <c r="O91" s="15">
        <v>14</v>
      </c>
      <c r="P91" s="43">
        <v>0</v>
      </c>
      <c r="Q91" s="15">
        <v>0</v>
      </c>
      <c r="R91" s="15">
        <v>3</v>
      </c>
      <c r="S91" s="15">
        <v>15</v>
      </c>
      <c r="T91" s="15">
        <v>0</v>
      </c>
      <c r="U91" s="14">
        <f t="shared" si="16"/>
        <v>18</v>
      </c>
      <c r="V91" s="6">
        <v>0</v>
      </c>
      <c r="W91" s="15">
        <v>6</v>
      </c>
      <c r="X91" s="15">
        <v>11</v>
      </c>
      <c r="Y91" s="15">
        <v>0</v>
      </c>
      <c r="Z91" s="43">
        <f t="shared" si="17"/>
        <v>17</v>
      </c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</row>
    <row r="92" spans="1:52" x14ac:dyDescent="0.25">
      <c r="B92" s="13">
        <v>42052</v>
      </c>
      <c r="C92" s="6" t="s">
        <v>84</v>
      </c>
      <c r="D92" s="34">
        <f>18.5*60</f>
        <v>1110</v>
      </c>
      <c r="E92" s="32"/>
      <c r="H92" s="43"/>
      <c r="I92" s="27">
        <v>0</v>
      </c>
      <c r="J92" s="15">
        <v>0</v>
      </c>
      <c r="K92" s="15">
        <v>16</v>
      </c>
      <c r="L92" s="43">
        <v>0</v>
      </c>
      <c r="M92" s="27">
        <v>0</v>
      </c>
      <c r="N92" s="15">
        <v>1</v>
      </c>
      <c r="O92" s="15">
        <v>15</v>
      </c>
      <c r="P92" s="43">
        <v>0</v>
      </c>
      <c r="Q92" s="27">
        <v>0</v>
      </c>
      <c r="R92" s="15">
        <v>3</v>
      </c>
      <c r="S92" s="15">
        <v>15</v>
      </c>
      <c r="T92" s="15">
        <v>0</v>
      </c>
      <c r="U92" s="14">
        <f t="shared" si="16"/>
        <v>18</v>
      </c>
      <c r="V92" s="32">
        <v>0</v>
      </c>
      <c r="W92" s="15">
        <v>5</v>
      </c>
      <c r="X92" s="15">
        <v>12</v>
      </c>
      <c r="Y92" s="15">
        <v>0</v>
      </c>
      <c r="Z92" s="43">
        <f t="shared" si="17"/>
        <v>17</v>
      </c>
      <c r="AB92" s="33"/>
      <c r="AC92" s="33"/>
      <c r="AD92" s="33"/>
    </row>
    <row r="93" spans="1:52" x14ac:dyDescent="0.25">
      <c r="C93" s="16" t="s">
        <v>21</v>
      </c>
      <c r="D93" s="36">
        <f>AVERAGE(D87:D92)</f>
        <v>1440</v>
      </c>
      <c r="E93" s="18"/>
      <c r="F93" s="18"/>
      <c r="G93" s="18"/>
      <c r="H93" s="36"/>
      <c r="I93" s="18"/>
      <c r="J93" s="18"/>
      <c r="K93" s="18"/>
      <c r="L93" s="36"/>
      <c r="M93" s="18"/>
      <c r="N93" s="18"/>
      <c r="O93" s="18"/>
      <c r="P93" s="36"/>
      <c r="Q93" s="18"/>
      <c r="R93" s="18"/>
      <c r="S93" s="18"/>
      <c r="T93" s="18"/>
      <c r="U93" s="36">
        <f>AVERAGE(U88:U92)</f>
        <v>16.8</v>
      </c>
      <c r="V93" s="18"/>
      <c r="W93" s="18"/>
      <c r="X93" s="18"/>
      <c r="Y93" s="18"/>
      <c r="Z93" s="36">
        <f>AVERAGE(Z88:Z92)</f>
        <v>15.2</v>
      </c>
      <c r="AB93" s="33"/>
      <c r="AC93" s="33"/>
      <c r="AD93" s="33"/>
    </row>
    <row r="94" spans="1:52" x14ac:dyDescent="0.25">
      <c r="C94" s="22" t="s">
        <v>12</v>
      </c>
      <c r="D94" s="21"/>
      <c r="E94" s="20"/>
      <c r="F94" s="20"/>
      <c r="G94" s="20"/>
      <c r="H94" s="21"/>
      <c r="I94" s="20"/>
      <c r="J94" s="20"/>
      <c r="K94" s="20"/>
      <c r="L94" s="21"/>
      <c r="M94" s="20"/>
      <c r="N94" s="20"/>
      <c r="O94" s="20"/>
      <c r="P94" s="21"/>
      <c r="Q94" s="60"/>
      <c r="R94" s="20"/>
      <c r="S94" s="20"/>
      <c r="T94" s="20"/>
      <c r="U94" s="22">
        <f>SUM(U87:U92)</f>
        <v>84</v>
      </c>
      <c r="V94" s="20"/>
      <c r="W94" s="20"/>
      <c r="X94" s="20"/>
      <c r="Y94" s="22"/>
      <c r="Z94" s="21">
        <f>SUM(Z87:Z92)</f>
        <v>76</v>
      </c>
      <c r="AB94" s="33"/>
      <c r="AC94" s="33"/>
      <c r="AD94" s="33"/>
    </row>
    <row r="95" spans="1:52" x14ac:dyDescent="0.25">
      <c r="A95" s="23"/>
      <c r="B95" s="23"/>
      <c r="C95" s="24" t="s">
        <v>109</v>
      </c>
      <c r="D95" s="23"/>
      <c r="E95" s="25"/>
      <c r="F95" s="23"/>
      <c r="G95" s="23"/>
      <c r="H95" s="26"/>
      <c r="I95" s="23"/>
      <c r="J95" s="23"/>
      <c r="K95" s="23"/>
      <c r="L95" s="26"/>
      <c r="M95" s="23"/>
      <c r="N95" s="23"/>
      <c r="O95" s="23"/>
      <c r="P95" s="26"/>
      <c r="Q95" s="23"/>
      <c r="R95" s="23"/>
      <c r="S95" s="23"/>
      <c r="T95" s="23"/>
      <c r="U95" s="23"/>
      <c r="V95" s="25"/>
      <c r="W95" s="23"/>
      <c r="X95" s="23"/>
      <c r="Y95" s="23"/>
      <c r="Z95" s="26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</row>
    <row r="96" spans="1:52" x14ac:dyDescent="0.25">
      <c r="A96" s="50"/>
      <c r="B96" s="51">
        <v>42157</v>
      </c>
      <c r="C96" s="44" t="s">
        <v>110</v>
      </c>
      <c r="D96" s="52">
        <f>40*60</f>
        <v>2400</v>
      </c>
      <c r="E96" s="50">
        <v>0</v>
      </c>
      <c r="F96" s="50">
        <v>1</v>
      </c>
      <c r="G96" s="50">
        <v>15</v>
      </c>
      <c r="H96" s="52">
        <v>0</v>
      </c>
      <c r="I96" s="45">
        <v>0</v>
      </c>
      <c r="J96" s="45">
        <v>3</v>
      </c>
      <c r="K96" s="45">
        <v>15</v>
      </c>
      <c r="L96" s="52">
        <v>0</v>
      </c>
      <c r="M96" s="45">
        <v>0</v>
      </c>
      <c r="N96" s="45">
        <v>4</v>
      </c>
      <c r="O96" s="45">
        <v>14</v>
      </c>
      <c r="P96" s="52">
        <v>0</v>
      </c>
      <c r="Q96" s="45">
        <v>0</v>
      </c>
      <c r="R96" s="45">
        <v>2</v>
      </c>
      <c r="S96" s="45">
        <v>13</v>
      </c>
      <c r="T96" s="45">
        <v>0</v>
      </c>
      <c r="U96" s="50">
        <f t="shared" ref="U96:U101" si="18">SUM(Q96:T96)</f>
        <v>15</v>
      </c>
      <c r="V96" s="44">
        <v>0</v>
      </c>
      <c r="W96" s="45">
        <v>2</v>
      </c>
      <c r="X96" s="45">
        <v>16</v>
      </c>
      <c r="Y96" s="45">
        <v>0</v>
      </c>
      <c r="Z96" s="52">
        <f t="shared" ref="Z96:Z101" si="19">SUM(V96:Y96)</f>
        <v>18</v>
      </c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</row>
    <row r="97" spans="1:59" x14ac:dyDescent="0.25">
      <c r="A97" s="53"/>
      <c r="B97" s="51">
        <v>42157</v>
      </c>
      <c r="C97" s="44" t="s">
        <v>111</v>
      </c>
      <c r="D97" s="53">
        <f>35*60</f>
        <v>2100</v>
      </c>
      <c r="E97" s="54">
        <v>0</v>
      </c>
      <c r="F97" s="53">
        <v>0</v>
      </c>
      <c r="G97" s="53">
        <v>18</v>
      </c>
      <c r="H97" s="55">
        <v>0</v>
      </c>
      <c r="I97" s="46">
        <v>0</v>
      </c>
      <c r="J97" s="46">
        <v>3</v>
      </c>
      <c r="K97" s="46">
        <v>16</v>
      </c>
      <c r="L97" s="55">
        <v>0</v>
      </c>
      <c r="M97" s="46">
        <v>0</v>
      </c>
      <c r="N97" s="46">
        <v>5</v>
      </c>
      <c r="O97" s="46">
        <v>15</v>
      </c>
      <c r="P97" s="55">
        <v>0</v>
      </c>
      <c r="Q97" s="46">
        <v>0</v>
      </c>
      <c r="R97" s="46">
        <v>3</v>
      </c>
      <c r="S97" s="46">
        <v>17</v>
      </c>
      <c r="T97" s="46">
        <v>0</v>
      </c>
      <c r="U97" s="53">
        <f t="shared" si="18"/>
        <v>20</v>
      </c>
      <c r="V97" s="54">
        <v>0</v>
      </c>
      <c r="W97" s="46">
        <v>2</v>
      </c>
      <c r="X97" s="46">
        <v>18</v>
      </c>
      <c r="Y97" s="46">
        <v>0</v>
      </c>
      <c r="Z97" s="55">
        <f t="shared" si="19"/>
        <v>20</v>
      </c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</row>
    <row r="98" spans="1:59" x14ac:dyDescent="0.25">
      <c r="A98" s="53"/>
      <c r="B98" s="51">
        <v>42157</v>
      </c>
      <c r="C98" s="44" t="s">
        <v>112</v>
      </c>
      <c r="D98" s="53"/>
      <c r="E98" s="54">
        <v>0</v>
      </c>
      <c r="F98" s="53">
        <v>1</v>
      </c>
      <c r="G98" s="53">
        <v>17</v>
      </c>
      <c r="H98" s="55">
        <v>0</v>
      </c>
      <c r="I98" s="46">
        <v>0</v>
      </c>
      <c r="J98" s="46">
        <v>4</v>
      </c>
      <c r="K98" s="46">
        <v>15</v>
      </c>
      <c r="L98" s="55">
        <v>0</v>
      </c>
      <c r="M98" s="46">
        <v>0</v>
      </c>
      <c r="N98" s="46">
        <v>2</v>
      </c>
      <c r="O98" s="46">
        <v>17</v>
      </c>
      <c r="P98" s="55">
        <v>0</v>
      </c>
      <c r="Q98" s="46">
        <v>0</v>
      </c>
      <c r="R98" s="46">
        <v>1</v>
      </c>
      <c r="S98" s="46">
        <v>19</v>
      </c>
      <c r="T98" s="46">
        <v>0</v>
      </c>
      <c r="U98" s="53">
        <f t="shared" si="18"/>
        <v>20</v>
      </c>
      <c r="V98" s="54">
        <v>0</v>
      </c>
      <c r="W98" s="46">
        <v>1</v>
      </c>
      <c r="X98" s="46">
        <v>20</v>
      </c>
      <c r="Y98" s="46">
        <v>0</v>
      </c>
      <c r="Z98" s="55">
        <f t="shared" si="19"/>
        <v>21</v>
      </c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</row>
    <row r="99" spans="1:59" x14ac:dyDescent="0.25">
      <c r="A99" s="51"/>
      <c r="B99" s="51">
        <v>42157</v>
      </c>
      <c r="C99" s="44" t="s">
        <v>113</v>
      </c>
      <c r="D99" s="53">
        <f>19*60</f>
        <v>1140</v>
      </c>
      <c r="E99" s="54">
        <v>0</v>
      </c>
      <c r="F99" s="53">
        <v>0</v>
      </c>
      <c r="G99" s="53">
        <v>17</v>
      </c>
      <c r="H99" s="55">
        <v>0</v>
      </c>
      <c r="I99" s="46">
        <v>0</v>
      </c>
      <c r="J99" s="46">
        <v>1</v>
      </c>
      <c r="K99" s="46">
        <v>16</v>
      </c>
      <c r="L99" s="55">
        <v>0</v>
      </c>
      <c r="M99" s="46">
        <v>0</v>
      </c>
      <c r="N99" s="46">
        <v>5</v>
      </c>
      <c r="O99" s="46">
        <v>11</v>
      </c>
      <c r="P99" s="55">
        <v>0</v>
      </c>
      <c r="Q99" s="46">
        <v>0</v>
      </c>
      <c r="R99" s="46">
        <v>2</v>
      </c>
      <c r="S99" s="46">
        <v>14</v>
      </c>
      <c r="T99" s="46">
        <v>0</v>
      </c>
      <c r="U99" s="53">
        <f t="shared" si="18"/>
        <v>16</v>
      </c>
      <c r="V99" s="54">
        <v>0</v>
      </c>
      <c r="W99" s="46">
        <v>3</v>
      </c>
      <c r="X99" s="46">
        <v>13</v>
      </c>
      <c r="Y99" s="46">
        <v>0</v>
      </c>
      <c r="Z99" s="55">
        <f t="shared" si="19"/>
        <v>16</v>
      </c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</row>
    <row r="100" spans="1:59" x14ac:dyDescent="0.25">
      <c r="A100" s="53"/>
      <c r="B100" s="51">
        <v>42157</v>
      </c>
      <c r="C100" s="44" t="s">
        <v>114</v>
      </c>
      <c r="D100" s="53">
        <f>33*60</f>
        <v>1980</v>
      </c>
      <c r="E100" s="54">
        <v>0</v>
      </c>
      <c r="F100" s="53">
        <v>0</v>
      </c>
      <c r="G100" s="53">
        <v>18</v>
      </c>
      <c r="H100" s="55">
        <v>0</v>
      </c>
      <c r="I100" s="46">
        <v>0</v>
      </c>
      <c r="J100" s="46">
        <v>1</v>
      </c>
      <c r="K100" s="46">
        <v>19</v>
      </c>
      <c r="L100" s="55">
        <v>0</v>
      </c>
      <c r="M100" s="46">
        <v>0</v>
      </c>
      <c r="N100" s="46">
        <v>4</v>
      </c>
      <c r="O100" s="46">
        <v>16</v>
      </c>
      <c r="P100" s="55">
        <v>0</v>
      </c>
      <c r="Q100" s="46">
        <v>0</v>
      </c>
      <c r="R100" s="46">
        <v>1</v>
      </c>
      <c r="S100" s="46">
        <v>17</v>
      </c>
      <c r="T100" s="46">
        <v>0</v>
      </c>
      <c r="U100" s="53">
        <f t="shared" si="18"/>
        <v>18</v>
      </c>
      <c r="V100" s="54">
        <v>0</v>
      </c>
      <c r="W100" s="46">
        <v>1</v>
      </c>
      <c r="X100" s="46">
        <v>16</v>
      </c>
      <c r="Y100" s="46">
        <v>0</v>
      </c>
      <c r="Z100" s="55">
        <f t="shared" si="19"/>
        <v>17</v>
      </c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</row>
    <row r="101" spans="1:59" x14ac:dyDescent="0.25">
      <c r="A101" s="53"/>
      <c r="B101" s="58">
        <v>42157</v>
      </c>
      <c r="C101" s="45" t="s">
        <v>115</v>
      </c>
      <c r="D101" s="55">
        <f>22.5*60</f>
        <v>1350</v>
      </c>
      <c r="E101" s="44">
        <v>0</v>
      </c>
      <c r="F101" s="53">
        <v>1</v>
      </c>
      <c r="G101" s="53">
        <v>19</v>
      </c>
      <c r="H101" s="55">
        <v>0</v>
      </c>
      <c r="I101" s="45">
        <v>0</v>
      </c>
      <c r="J101" s="45">
        <v>2</v>
      </c>
      <c r="K101" s="45">
        <v>18</v>
      </c>
      <c r="L101" s="52">
        <v>0</v>
      </c>
      <c r="M101" s="45">
        <v>0</v>
      </c>
      <c r="N101" s="45">
        <v>1</v>
      </c>
      <c r="O101" s="45">
        <v>20</v>
      </c>
      <c r="P101" s="52">
        <v>0</v>
      </c>
      <c r="Q101" s="45">
        <v>0</v>
      </c>
      <c r="R101" s="45">
        <v>3</v>
      </c>
      <c r="S101" s="45">
        <v>19</v>
      </c>
      <c r="T101" s="45">
        <v>0</v>
      </c>
      <c r="U101" s="53">
        <f t="shared" si="18"/>
        <v>22</v>
      </c>
      <c r="V101" s="44">
        <v>0</v>
      </c>
      <c r="W101" s="45">
        <v>3</v>
      </c>
      <c r="X101" s="45">
        <v>21</v>
      </c>
      <c r="Y101" s="45">
        <v>0</v>
      </c>
      <c r="Z101" s="55">
        <f t="shared" si="19"/>
        <v>24</v>
      </c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</row>
    <row r="102" spans="1:59" x14ac:dyDescent="0.25">
      <c r="A102" s="33"/>
      <c r="B102" s="43"/>
      <c r="C102" s="56" t="s">
        <v>21</v>
      </c>
      <c r="D102" s="36">
        <f>AVERAGE(D96:D101)</f>
        <v>1794</v>
      </c>
      <c r="E102" s="18"/>
      <c r="F102" s="18"/>
      <c r="G102" s="18"/>
      <c r="H102" s="36"/>
      <c r="I102" s="18"/>
      <c r="J102" s="18"/>
      <c r="K102" s="18"/>
      <c r="L102" s="36"/>
      <c r="M102" s="18"/>
      <c r="N102" s="18"/>
      <c r="O102" s="18"/>
      <c r="P102" s="36"/>
      <c r="Q102" s="18"/>
      <c r="R102" s="18"/>
      <c r="S102" s="18"/>
      <c r="T102" s="18"/>
      <c r="U102" s="36">
        <f>AVERAGE(U96:U101)</f>
        <v>18.5</v>
      </c>
      <c r="V102" s="18"/>
      <c r="W102" s="18"/>
      <c r="X102" s="18"/>
      <c r="Y102" s="18"/>
      <c r="Z102" s="36">
        <f>AVERAGE(Z96:Z101)</f>
        <v>19.333333333333332</v>
      </c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</row>
    <row r="103" spans="1:59" x14ac:dyDescent="0.25">
      <c r="A103" s="33"/>
      <c r="B103" s="43"/>
      <c r="C103" s="22" t="s">
        <v>12</v>
      </c>
      <c r="D103" s="21"/>
      <c r="E103" s="20"/>
      <c r="F103" s="20"/>
      <c r="G103" s="20"/>
      <c r="H103" s="21"/>
      <c r="I103" s="20"/>
      <c r="J103" s="20"/>
      <c r="K103" s="20"/>
      <c r="L103" s="21"/>
      <c r="M103" s="20"/>
      <c r="N103" s="20"/>
      <c r="O103" s="20"/>
      <c r="P103" s="21"/>
      <c r="Q103" s="60"/>
      <c r="R103" s="20"/>
      <c r="S103" s="20"/>
      <c r="T103" s="20"/>
      <c r="U103" s="22">
        <f>SUM(U96:U101)</f>
        <v>111</v>
      </c>
      <c r="V103" s="20"/>
      <c r="W103" s="20"/>
      <c r="X103" s="20"/>
      <c r="Y103" s="22"/>
      <c r="Z103" s="21">
        <f>SUM(Z96:Z101)</f>
        <v>116</v>
      </c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</row>
    <row r="104" spans="1:59" x14ac:dyDescent="0.25">
      <c r="B104" s="43"/>
      <c r="E104" s="5" t="s">
        <v>85</v>
      </c>
      <c r="F104" s="2"/>
      <c r="G104" s="2"/>
      <c r="H104" s="2"/>
      <c r="I104" s="1"/>
      <c r="J104" s="5" t="s">
        <v>86</v>
      </c>
      <c r="K104" s="2"/>
      <c r="L104" s="2"/>
      <c r="M104" s="2"/>
      <c r="N104" s="2"/>
      <c r="O104" s="5" t="s">
        <v>87</v>
      </c>
      <c r="P104" s="2"/>
      <c r="Q104" s="2"/>
      <c r="R104" s="2"/>
      <c r="S104" s="2"/>
      <c r="T104" s="5" t="s">
        <v>88</v>
      </c>
      <c r="U104" s="2"/>
      <c r="V104" s="2"/>
      <c r="W104" s="2"/>
      <c r="X104" s="2"/>
      <c r="Y104" s="5" t="s">
        <v>89</v>
      </c>
      <c r="Z104" s="2"/>
      <c r="AA104" s="2"/>
      <c r="AB104" s="2"/>
      <c r="AC104" s="2"/>
      <c r="AD104" s="5" t="s">
        <v>38</v>
      </c>
      <c r="AE104" s="2"/>
      <c r="AF104" s="2"/>
      <c r="AG104" s="2"/>
      <c r="AH104" s="1"/>
      <c r="AI104" s="5" t="s">
        <v>45</v>
      </c>
      <c r="AJ104" s="2"/>
      <c r="AK104" s="2"/>
      <c r="AL104" s="2"/>
      <c r="AM104" s="2"/>
      <c r="AN104" s="5" t="s">
        <v>90</v>
      </c>
      <c r="AO104" s="2"/>
      <c r="AP104" s="2"/>
      <c r="AQ104" s="2"/>
      <c r="AR104" s="2"/>
      <c r="AS104" s="5" t="s">
        <v>52</v>
      </c>
      <c r="AT104" s="2"/>
      <c r="AU104" s="2"/>
      <c r="AV104" s="2"/>
      <c r="AW104" s="2"/>
      <c r="AX104" s="5" t="s">
        <v>91</v>
      </c>
      <c r="AY104" s="2"/>
      <c r="AZ104" s="2"/>
      <c r="BA104" s="2"/>
      <c r="BB104" s="2"/>
      <c r="BC104" s="5" t="s">
        <v>116</v>
      </c>
      <c r="BD104" s="2"/>
      <c r="BE104" s="2"/>
      <c r="BF104" s="2"/>
      <c r="BG104" s="2"/>
    </row>
    <row r="105" spans="1:59" x14ac:dyDescent="0.25">
      <c r="B105" s="43"/>
      <c r="E105" s="8" t="s">
        <v>7</v>
      </c>
      <c r="F105" s="9" t="s">
        <v>8</v>
      </c>
      <c r="G105" s="9" t="s">
        <v>9</v>
      </c>
      <c r="H105" s="9" t="s">
        <v>10</v>
      </c>
      <c r="I105" s="10" t="s">
        <v>11</v>
      </c>
      <c r="J105" s="9" t="s">
        <v>7</v>
      </c>
      <c r="K105" s="9" t="s">
        <v>8</v>
      </c>
      <c r="L105" s="9" t="s">
        <v>9</v>
      </c>
      <c r="M105" s="9" t="s">
        <v>10</v>
      </c>
      <c r="N105" s="9" t="s">
        <v>11</v>
      </c>
      <c r="O105" s="8" t="s">
        <v>7</v>
      </c>
      <c r="P105" s="9" t="s">
        <v>8</v>
      </c>
      <c r="Q105" s="9" t="s">
        <v>9</v>
      </c>
      <c r="R105" s="9" t="s">
        <v>10</v>
      </c>
      <c r="S105" s="9" t="s">
        <v>11</v>
      </c>
      <c r="T105" s="8" t="s">
        <v>7</v>
      </c>
      <c r="U105" s="9" t="s">
        <v>8</v>
      </c>
      <c r="V105" s="9" t="s">
        <v>9</v>
      </c>
      <c r="W105" s="9" t="s">
        <v>10</v>
      </c>
      <c r="X105" s="9" t="s">
        <v>11</v>
      </c>
      <c r="Y105" s="8" t="s">
        <v>7</v>
      </c>
      <c r="Z105" s="9" t="s">
        <v>8</v>
      </c>
      <c r="AA105" s="9" t="s">
        <v>9</v>
      </c>
      <c r="AB105" s="9" t="s">
        <v>10</v>
      </c>
      <c r="AC105" s="9" t="s">
        <v>12</v>
      </c>
      <c r="AD105" s="8" t="s">
        <v>7</v>
      </c>
      <c r="AE105" s="9" t="s">
        <v>8</v>
      </c>
      <c r="AF105" s="9" t="s">
        <v>9</v>
      </c>
      <c r="AG105" s="9" t="s">
        <v>10</v>
      </c>
      <c r="AH105" s="10" t="s">
        <v>11</v>
      </c>
      <c r="AI105" s="9" t="s">
        <v>7</v>
      </c>
      <c r="AJ105" s="9" t="s">
        <v>8</v>
      </c>
      <c r="AK105" s="9" t="s">
        <v>9</v>
      </c>
      <c r="AL105" s="9" t="s">
        <v>10</v>
      </c>
      <c r="AM105" s="9" t="s">
        <v>11</v>
      </c>
      <c r="AN105" s="8" t="s">
        <v>7</v>
      </c>
      <c r="AO105" s="9" t="s">
        <v>8</v>
      </c>
      <c r="AP105" s="9" t="s">
        <v>9</v>
      </c>
      <c r="AQ105" s="9" t="s">
        <v>10</v>
      </c>
      <c r="AR105" s="9" t="s">
        <v>11</v>
      </c>
      <c r="AS105" s="8" t="s">
        <v>7</v>
      </c>
      <c r="AT105" s="9" t="s">
        <v>8</v>
      </c>
      <c r="AU105" s="9" t="s">
        <v>9</v>
      </c>
      <c r="AV105" s="9" t="s">
        <v>10</v>
      </c>
      <c r="AW105" s="9" t="s">
        <v>11</v>
      </c>
      <c r="AX105" s="8" t="s">
        <v>7</v>
      </c>
      <c r="AY105" s="9" t="s">
        <v>8</v>
      </c>
      <c r="AZ105" s="9" t="s">
        <v>9</v>
      </c>
      <c r="BA105" s="9" t="s">
        <v>10</v>
      </c>
      <c r="BB105" s="42" t="s">
        <v>12</v>
      </c>
      <c r="BC105" s="8" t="s">
        <v>7</v>
      </c>
      <c r="BD105" s="9" t="s">
        <v>8</v>
      </c>
      <c r="BE105" s="9" t="s">
        <v>9</v>
      </c>
      <c r="BF105" s="9" t="s">
        <v>10</v>
      </c>
      <c r="BG105" s="42" t="s">
        <v>12</v>
      </c>
    </row>
    <row r="106" spans="1:59" x14ac:dyDescent="0.25">
      <c r="A106" s="23"/>
      <c r="B106" s="26"/>
      <c r="C106" s="57" t="s">
        <v>117</v>
      </c>
      <c r="D106" s="23"/>
      <c r="E106" s="25"/>
      <c r="F106" s="23"/>
      <c r="G106" s="23"/>
      <c r="H106" s="23"/>
      <c r="I106" s="23"/>
      <c r="J106" s="25"/>
      <c r="K106" s="23"/>
      <c r="L106" s="23"/>
      <c r="M106" s="23"/>
      <c r="N106" s="23"/>
      <c r="O106" s="25"/>
      <c r="P106" s="23"/>
      <c r="Q106" s="23"/>
      <c r="R106" s="23"/>
      <c r="S106" s="23"/>
      <c r="T106" s="25"/>
      <c r="U106" s="23"/>
      <c r="V106" s="23"/>
      <c r="W106" s="23"/>
      <c r="X106" s="23"/>
      <c r="Y106" s="25"/>
      <c r="Z106" s="23"/>
      <c r="AA106" s="23"/>
      <c r="AB106" s="23"/>
      <c r="AC106" s="23"/>
      <c r="AD106" s="25"/>
      <c r="AE106" s="23"/>
      <c r="AF106" s="23"/>
      <c r="AG106" s="23"/>
      <c r="AH106" s="23"/>
      <c r="AI106" s="25"/>
      <c r="AJ106" s="23"/>
      <c r="AK106" s="23"/>
      <c r="AL106" s="23"/>
      <c r="AM106" s="23"/>
      <c r="AN106" s="25"/>
      <c r="AO106" s="23"/>
      <c r="AP106" s="23"/>
      <c r="AQ106" s="23"/>
      <c r="AR106" s="23"/>
      <c r="AS106" s="25"/>
      <c r="AT106" s="23"/>
      <c r="AU106" s="23"/>
      <c r="AV106" s="23"/>
      <c r="AW106" s="23"/>
      <c r="AX106" s="25"/>
      <c r="AY106" s="23"/>
      <c r="AZ106" s="23"/>
      <c r="BA106" s="23"/>
      <c r="BB106" s="26"/>
      <c r="BC106" s="25"/>
      <c r="BD106" s="23"/>
      <c r="BE106" s="23"/>
      <c r="BF106" s="23"/>
      <c r="BG106" s="26"/>
    </row>
    <row r="107" spans="1:59" x14ac:dyDescent="0.25">
      <c r="B107" s="13">
        <v>41854</v>
      </c>
      <c r="C107" s="6" t="s">
        <v>92</v>
      </c>
      <c r="D107" s="43"/>
      <c r="I107" s="14">
        <f t="shared" ref="I107:I118" si="20">SUM(E107:H107)</f>
        <v>0</v>
      </c>
      <c r="J107" s="6">
        <v>16</v>
      </c>
      <c r="K107" s="15">
        <v>1</v>
      </c>
      <c r="L107" s="15">
        <v>0</v>
      </c>
      <c r="M107" s="15">
        <v>0</v>
      </c>
      <c r="N107" s="14">
        <f t="shared" ref="N107:N120" si="21">SUM(J107:M107)</f>
        <v>17</v>
      </c>
      <c r="O107" s="6">
        <v>17</v>
      </c>
      <c r="P107" s="15">
        <v>1</v>
      </c>
      <c r="Q107" s="15">
        <v>0</v>
      </c>
      <c r="R107" s="15">
        <v>0</v>
      </c>
      <c r="S107" s="14">
        <f t="shared" ref="S107:S120" si="22">SUM(O107:R107)</f>
        <v>18</v>
      </c>
      <c r="T107" s="6">
        <v>15</v>
      </c>
      <c r="U107" s="15">
        <v>2</v>
      </c>
      <c r="V107" s="15">
        <v>1</v>
      </c>
      <c r="W107" s="15">
        <v>0</v>
      </c>
      <c r="X107" s="14">
        <f t="shared" ref="X107:X120" si="23">SUM(T107:W107)</f>
        <v>18</v>
      </c>
      <c r="Y107" s="6">
        <v>10</v>
      </c>
      <c r="Z107" s="15">
        <v>2</v>
      </c>
      <c r="AA107" s="15">
        <v>7</v>
      </c>
      <c r="AB107" s="15">
        <v>0</v>
      </c>
      <c r="AC107" s="14">
        <f t="shared" ref="AC107:AC120" si="24">SUM(Y107:AB107)</f>
        <v>19</v>
      </c>
      <c r="AD107" s="6">
        <v>9</v>
      </c>
      <c r="AE107" s="15">
        <v>0</v>
      </c>
      <c r="AF107" s="15">
        <v>9</v>
      </c>
      <c r="AG107" s="15">
        <v>0</v>
      </c>
      <c r="AH107" s="14">
        <f t="shared" ref="AH107:AH120" si="25">SUM(AD107:AG107)</f>
        <v>18</v>
      </c>
      <c r="AI107" s="6">
        <v>4</v>
      </c>
      <c r="AJ107" s="15">
        <v>1</v>
      </c>
      <c r="AK107" s="15">
        <v>13</v>
      </c>
      <c r="AL107" s="15">
        <v>0</v>
      </c>
      <c r="AM107" s="14">
        <f t="shared" ref="AM107:AM120" si="26">SUM(AI107:AL107)</f>
        <v>18</v>
      </c>
      <c r="AN107" s="6">
        <v>1</v>
      </c>
      <c r="AO107" s="15">
        <v>0</v>
      </c>
      <c r="AP107" s="15">
        <v>17</v>
      </c>
      <c r="AQ107" s="15">
        <v>0</v>
      </c>
      <c r="AR107" s="14">
        <f t="shared" ref="AR107:AR120" si="27">SUM(AN107:AQ107)</f>
        <v>18</v>
      </c>
      <c r="AS107" s="6">
        <v>1</v>
      </c>
      <c r="AT107" s="15">
        <v>0</v>
      </c>
      <c r="AU107" s="15">
        <v>15</v>
      </c>
      <c r="AV107" s="15">
        <v>0</v>
      </c>
      <c r="AW107" s="14">
        <f t="shared" ref="AW107:AW120" si="28">SUM(AS107:AV107)</f>
        <v>16</v>
      </c>
      <c r="AX107" s="6">
        <v>1</v>
      </c>
      <c r="AY107" s="15">
        <v>0</v>
      </c>
      <c r="AZ107" s="15">
        <v>15</v>
      </c>
      <c r="BA107" s="15">
        <v>0</v>
      </c>
      <c r="BB107" s="34">
        <f t="shared" ref="BB107:BB120" si="29">SUM(AX107:BA107)</f>
        <v>16</v>
      </c>
      <c r="BC107" s="6"/>
      <c r="BD107" s="15"/>
      <c r="BE107" s="15"/>
      <c r="BF107" s="15"/>
      <c r="BG107" s="43">
        <f t="shared" ref="BG107:BG112" si="30">SUM(BC107:BF107)</f>
        <v>0</v>
      </c>
    </row>
    <row r="108" spans="1:59" x14ac:dyDescent="0.25">
      <c r="B108" s="13">
        <v>41854</v>
      </c>
      <c r="C108" s="6" t="s">
        <v>93</v>
      </c>
      <c r="E108" s="6"/>
      <c r="I108" s="14">
        <f t="shared" si="20"/>
        <v>0</v>
      </c>
      <c r="J108" s="6">
        <v>15</v>
      </c>
      <c r="K108" s="15">
        <v>3</v>
      </c>
      <c r="L108" s="15">
        <v>0</v>
      </c>
      <c r="M108" s="15">
        <v>0</v>
      </c>
      <c r="N108" s="14">
        <f t="shared" si="21"/>
        <v>18</v>
      </c>
      <c r="O108" s="6">
        <v>16</v>
      </c>
      <c r="P108" s="15">
        <v>2</v>
      </c>
      <c r="Q108" s="15">
        <v>0</v>
      </c>
      <c r="R108" s="15">
        <v>0</v>
      </c>
      <c r="S108" s="14">
        <f t="shared" si="22"/>
        <v>18</v>
      </c>
      <c r="T108" s="6">
        <v>14</v>
      </c>
      <c r="U108" s="15">
        <v>1</v>
      </c>
      <c r="V108" s="15">
        <v>3</v>
      </c>
      <c r="W108" s="15">
        <v>0</v>
      </c>
      <c r="X108" s="14">
        <f t="shared" si="23"/>
        <v>18</v>
      </c>
      <c r="Y108" s="6">
        <v>12</v>
      </c>
      <c r="Z108" s="15">
        <v>1</v>
      </c>
      <c r="AA108" s="15">
        <v>4</v>
      </c>
      <c r="AB108" s="15">
        <v>0</v>
      </c>
      <c r="AC108" s="14">
        <f t="shared" si="24"/>
        <v>17</v>
      </c>
      <c r="AD108" s="6">
        <v>7</v>
      </c>
      <c r="AE108" s="15">
        <v>1</v>
      </c>
      <c r="AF108" s="15">
        <v>9</v>
      </c>
      <c r="AG108" s="15">
        <v>0</v>
      </c>
      <c r="AH108" s="14">
        <f t="shared" si="25"/>
        <v>17</v>
      </c>
      <c r="AI108" s="6">
        <v>5</v>
      </c>
      <c r="AJ108" s="15">
        <v>0</v>
      </c>
      <c r="AK108" s="15">
        <v>12</v>
      </c>
      <c r="AL108" s="15">
        <v>0</v>
      </c>
      <c r="AM108" s="14">
        <f t="shared" si="26"/>
        <v>17</v>
      </c>
      <c r="AN108" s="6">
        <v>2</v>
      </c>
      <c r="AO108" s="15">
        <v>2</v>
      </c>
      <c r="AP108" s="15">
        <v>10</v>
      </c>
      <c r="AQ108" s="15">
        <v>0</v>
      </c>
      <c r="AR108" s="14">
        <f t="shared" si="27"/>
        <v>14</v>
      </c>
      <c r="AS108" s="6">
        <v>0</v>
      </c>
      <c r="AT108" s="15">
        <v>1</v>
      </c>
      <c r="AU108" s="15">
        <v>13</v>
      </c>
      <c r="AV108" s="15">
        <v>0</v>
      </c>
      <c r="AW108" s="14">
        <f t="shared" si="28"/>
        <v>14</v>
      </c>
      <c r="AX108" s="6">
        <v>0</v>
      </c>
      <c r="AY108" s="15">
        <v>0</v>
      </c>
      <c r="AZ108" s="15">
        <v>13</v>
      </c>
      <c r="BA108" s="15">
        <v>0</v>
      </c>
      <c r="BB108" s="34">
        <f t="shared" si="29"/>
        <v>13</v>
      </c>
      <c r="BC108" s="6"/>
      <c r="BD108" s="15"/>
      <c r="BE108" s="15"/>
      <c r="BF108" s="15"/>
      <c r="BG108" s="43">
        <f t="shared" si="30"/>
        <v>0</v>
      </c>
    </row>
    <row r="109" spans="1:59" x14ac:dyDescent="0.25">
      <c r="B109" s="13">
        <v>41854</v>
      </c>
      <c r="C109" s="6" t="s">
        <v>94</v>
      </c>
      <c r="E109" s="6"/>
      <c r="I109" s="14">
        <f t="shared" si="20"/>
        <v>0</v>
      </c>
      <c r="J109" s="6">
        <v>18</v>
      </c>
      <c r="K109" s="15">
        <v>0</v>
      </c>
      <c r="L109" s="15">
        <v>0</v>
      </c>
      <c r="M109" s="15">
        <v>0</v>
      </c>
      <c r="N109" s="14">
        <f t="shared" si="21"/>
        <v>18</v>
      </c>
      <c r="O109" s="6">
        <v>18</v>
      </c>
      <c r="P109" s="15">
        <v>0</v>
      </c>
      <c r="Q109" s="15">
        <v>0</v>
      </c>
      <c r="R109" s="15">
        <v>0</v>
      </c>
      <c r="S109" s="14">
        <f t="shared" si="22"/>
        <v>18</v>
      </c>
      <c r="T109" s="6">
        <v>17</v>
      </c>
      <c r="U109" s="15">
        <v>0</v>
      </c>
      <c r="V109" s="15">
        <v>0</v>
      </c>
      <c r="W109" s="15">
        <v>0</v>
      </c>
      <c r="X109" s="14">
        <f t="shared" si="23"/>
        <v>17</v>
      </c>
      <c r="Y109" s="6">
        <v>16</v>
      </c>
      <c r="Z109" s="15">
        <v>1</v>
      </c>
      <c r="AA109" s="15">
        <v>1</v>
      </c>
      <c r="AB109" s="15">
        <v>0</v>
      </c>
      <c r="AC109" s="14">
        <f t="shared" si="24"/>
        <v>18</v>
      </c>
      <c r="AD109" s="6">
        <v>15</v>
      </c>
      <c r="AE109" s="15">
        <v>0</v>
      </c>
      <c r="AF109" s="15">
        <v>4</v>
      </c>
      <c r="AG109" s="15">
        <v>0</v>
      </c>
      <c r="AH109" s="14">
        <f t="shared" si="25"/>
        <v>19</v>
      </c>
      <c r="AI109" s="6">
        <v>14</v>
      </c>
      <c r="AJ109" s="15">
        <v>0</v>
      </c>
      <c r="AK109" s="15">
        <v>4</v>
      </c>
      <c r="AL109" s="15">
        <v>0</v>
      </c>
      <c r="AM109" s="14">
        <f t="shared" si="26"/>
        <v>18</v>
      </c>
      <c r="AN109" s="6">
        <v>7</v>
      </c>
      <c r="AO109" s="15">
        <v>1</v>
      </c>
      <c r="AP109" s="15">
        <v>9</v>
      </c>
      <c r="AQ109" s="15">
        <v>0</v>
      </c>
      <c r="AR109" s="14">
        <f t="shared" si="27"/>
        <v>17</v>
      </c>
      <c r="AS109" s="6">
        <v>5</v>
      </c>
      <c r="AT109" s="15">
        <v>1</v>
      </c>
      <c r="AU109" s="15">
        <v>9</v>
      </c>
      <c r="AV109" s="15">
        <v>0</v>
      </c>
      <c r="AW109" s="14">
        <f t="shared" si="28"/>
        <v>15</v>
      </c>
      <c r="AX109" s="6">
        <v>4</v>
      </c>
      <c r="AY109" s="15">
        <v>1</v>
      </c>
      <c r="AZ109" s="15">
        <v>10</v>
      </c>
      <c r="BA109" s="15">
        <v>0</v>
      </c>
      <c r="BB109" s="34">
        <f t="shared" si="29"/>
        <v>15</v>
      </c>
      <c r="BC109" s="6"/>
      <c r="BD109" s="15"/>
      <c r="BE109" s="15"/>
      <c r="BF109" s="15"/>
      <c r="BG109" s="43">
        <f t="shared" si="30"/>
        <v>0</v>
      </c>
    </row>
    <row r="110" spans="1:59" x14ac:dyDescent="0.25">
      <c r="B110" s="13">
        <v>41854</v>
      </c>
      <c r="C110" s="6" t="s">
        <v>95</v>
      </c>
      <c r="E110" s="6"/>
      <c r="I110" s="14">
        <f t="shared" si="20"/>
        <v>0</v>
      </c>
      <c r="J110" s="6">
        <v>15</v>
      </c>
      <c r="K110" s="15">
        <v>1</v>
      </c>
      <c r="L110" s="15">
        <v>0</v>
      </c>
      <c r="M110" s="15">
        <v>0</v>
      </c>
      <c r="N110" s="14">
        <f t="shared" si="21"/>
        <v>16</v>
      </c>
      <c r="O110" s="6">
        <v>16</v>
      </c>
      <c r="P110" s="15">
        <v>0</v>
      </c>
      <c r="Q110" s="15">
        <v>0</v>
      </c>
      <c r="R110" s="15">
        <v>0</v>
      </c>
      <c r="S110" s="14">
        <f t="shared" si="22"/>
        <v>16</v>
      </c>
      <c r="T110" s="6">
        <v>13</v>
      </c>
      <c r="U110" s="15">
        <v>3</v>
      </c>
      <c r="V110" s="15">
        <v>1</v>
      </c>
      <c r="W110" s="15">
        <v>0</v>
      </c>
      <c r="X110" s="14">
        <f t="shared" si="23"/>
        <v>17</v>
      </c>
      <c r="Y110" s="6">
        <v>12</v>
      </c>
      <c r="Z110" s="15">
        <v>0</v>
      </c>
      <c r="AA110" s="15">
        <v>5</v>
      </c>
      <c r="AB110" s="15">
        <v>0</v>
      </c>
      <c r="AC110" s="14">
        <f t="shared" si="24"/>
        <v>17</v>
      </c>
      <c r="AD110" s="6">
        <v>4</v>
      </c>
      <c r="AE110" s="15">
        <v>1</v>
      </c>
      <c r="AF110" s="15">
        <v>10</v>
      </c>
      <c r="AG110" s="15">
        <v>0</v>
      </c>
      <c r="AH110" s="14">
        <f t="shared" si="25"/>
        <v>15</v>
      </c>
      <c r="AI110" s="6">
        <v>1</v>
      </c>
      <c r="AJ110" s="15">
        <v>1</v>
      </c>
      <c r="AK110" s="15">
        <v>12</v>
      </c>
      <c r="AL110" s="15">
        <v>0</v>
      </c>
      <c r="AM110" s="14">
        <f t="shared" si="26"/>
        <v>14</v>
      </c>
      <c r="AN110" s="6">
        <v>0</v>
      </c>
      <c r="AO110" s="15">
        <v>1</v>
      </c>
      <c r="AP110" s="15">
        <v>15</v>
      </c>
      <c r="AQ110" s="15">
        <v>0</v>
      </c>
      <c r="AR110" s="14">
        <f t="shared" si="27"/>
        <v>16</v>
      </c>
      <c r="AS110" s="6">
        <v>0</v>
      </c>
      <c r="AT110" s="15">
        <v>1</v>
      </c>
      <c r="AU110" s="15">
        <v>14</v>
      </c>
      <c r="AV110" s="15">
        <v>0</v>
      </c>
      <c r="AW110" s="14">
        <f t="shared" si="28"/>
        <v>15</v>
      </c>
      <c r="AX110" s="6">
        <v>0</v>
      </c>
      <c r="AY110" s="15">
        <v>0</v>
      </c>
      <c r="AZ110" s="15">
        <v>16</v>
      </c>
      <c r="BA110" s="15">
        <v>0</v>
      </c>
      <c r="BB110" s="34">
        <f t="shared" si="29"/>
        <v>16</v>
      </c>
      <c r="BC110" s="6"/>
      <c r="BD110" s="15"/>
      <c r="BE110" s="15"/>
      <c r="BF110" s="15"/>
      <c r="BG110" s="43">
        <f t="shared" si="30"/>
        <v>0</v>
      </c>
    </row>
    <row r="111" spans="1:59" x14ac:dyDescent="0.25">
      <c r="B111" s="13">
        <v>41854</v>
      </c>
      <c r="C111" s="6" t="s">
        <v>96</v>
      </c>
      <c r="E111" s="6"/>
      <c r="I111" s="14">
        <f t="shared" si="20"/>
        <v>0</v>
      </c>
      <c r="J111" s="6">
        <v>17</v>
      </c>
      <c r="K111" s="15">
        <v>3</v>
      </c>
      <c r="L111" s="15">
        <v>0</v>
      </c>
      <c r="M111" s="15">
        <v>0</v>
      </c>
      <c r="N111" s="14">
        <f t="shared" si="21"/>
        <v>20</v>
      </c>
      <c r="O111" s="6">
        <v>13</v>
      </c>
      <c r="P111" s="15">
        <v>3</v>
      </c>
      <c r="Q111" s="15">
        <v>3</v>
      </c>
      <c r="R111" s="15">
        <v>0</v>
      </c>
      <c r="S111" s="14">
        <f t="shared" si="22"/>
        <v>19</v>
      </c>
      <c r="T111" s="6">
        <v>1</v>
      </c>
      <c r="U111" s="15">
        <v>3</v>
      </c>
      <c r="V111" s="15">
        <v>16</v>
      </c>
      <c r="W111" s="15">
        <v>0</v>
      </c>
      <c r="X111" s="14">
        <f t="shared" si="23"/>
        <v>20</v>
      </c>
      <c r="Y111" s="6">
        <v>0</v>
      </c>
      <c r="Z111" s="15">
        <v>1</v>
      </c>
      <c r="AA111" s="15">
        <v>18</v>
      </c>
      <c r="AB111" s="15">
        <v>0</v>
      </c>
      <c r="AC111" s="14">
        <f t="shared" si="24"/>
        <v>19</v>
      </c>
      <c r="AD111" s="6">
        <v>0</v>
      </c>
      <c r="AE111" s="15">
        <v>1</v>
      </c>
      <c r="AF111" s="15">
        <v>19</v>
      </c>
      <c r="AG111" s="15">
        <v>0</v>
      </c>
      <c r="AH111" s="14">
        <f t="shared" si="25"/>
        <v>20</v>
      </c>
      <c r="AI111" s="6">
        <v>0</v>
      </c>
      <c r="AJ111" s="15">
        <v>1</v>
      </c>
      <c r="AK111" s="15">
        <v>19</v>
      </c>
      <c r="AL111" s="15">
        <v>0</v>
      </c>
      <c r="AM111" s="14">
        <f t="shared" si="26"/>
        <v>20</v>
      </c>
      <c r="AN111" s="6">
        <v>0</v>
      </c>
      <c r="AO111" s="15">
        <v>0</v>
      </c>
      <c r="AP111" s="15">
        <v>19</v>
      </c>
      <c r="AQ111" s="15">
        <v>0</v>
      </c>
      <c r="AR111" s="14">
        <f t="shared" si="27"/>
        <v>19</v>
      </c>
      <c r="AS111" s="6">
        <v>0</v>
      </c>
      <c r="AT111" s="15">
        <v>0</v>
      </c>
      <c r="AU111" s="15">
        <v>17</v>
      </c>
      <c r="AV111" s="15">
        <v>0</v>
      </c>
      <c r="AW111" s="14">
        <f t="shared" si="28"/>
        <v>17</v>
      </c>
      <c r="AX111" s="6"/>
      <c r="AY111" s="15"/>
      <c r="AZ111" s="15"/>
      <c r="BA111" s="15"/>
      <c r="BB111" s="34">
        <f t="shared" si="29"/>
        <v>0</v>
      </c>
      <c r="BC111" s="6"/>
      <c r="BD111" s="15"/>
      <c r="BE111" s="15"/>
      <c r="BF111" s="15"/>
      <c r="BG111" s="43">
        <f t="shared" si="30"/>
        <v>0</v>
      </c>
    </row>
    <row r="112" spans="1:59" x14ac:dyDescent="0.25">
      <c r="B112" s="13">
        <v>41854</v>
      </c>
      <c r="C112" s="6" t="s">
        <v>97</v>
      </c>
      <c r="D112" s="34"/>
      <c r="E112" s="32"/>
      <c r="I112" s="14">
        <f t="shared" si="20"/>
        <v>0</v>
      </c>
      <c r="J112" s="32">
        <v>14</v>
      </c>
      <c r="K112" s="15">
        <v>0</v>
      </c>
      <c r="L112" s="15">
        <v>0</v>
      </c>
      <c r="M112" s="15">
        <v>0</v>
      </c>
      <c r="N112" s="14">
        <f t="shared" si="21"/>
        <v>14</v>
      </c>
      <c r="O112" s="32">
        <v>14</v>
      </c>
      <c r="P112" s="15">
        <v>0</v>
      </c>
      <c r="Q112" s="15">
        <v>0</v>
      </c>
      <c r="R112" s="15">
        <v>0</v>
      </c>
      <c r="S112" s="14">
        <f t="shared" si="22"/>
        <v>14</v>
      </c>
      <c r="T112" s="32">
        <v>13</v>
      </c>
      <c r="U112" s="15">
        <v>0</v>
      </c>
      <c r="V112" s="15">
        <v>0</v>
      </c>
      <c r="W112" s="15">
        <v>0</v>
      </c>
      <c r="X112" s="14">
        <f t="shared" si="23"/>
        <v>13</v>
      </c>
      <c r="Y112" s="32">
        <v>13</v>
      </c>
      <c r="Z112" s="15">
        <v>0</v>
      </c>
      <c r="AA112" s="15">
        <v>0</v>
      </c>
      <c r="AB112" s="15">
        <v>0</v>
      </c>
      <c r="AC112" s="14">
        <f t="shared" si="24"/>
        <v>13</v>
      </c>
      <c r="AD112" s="32">
        <v>12</v>
      </c>
      <c r="AE112" s="15">
        <v>0</v>
      </c>
      <c r="AF112" s="15">
        <v>1</v>
      </c>
      <c r="AG112" s="15">
        <v>0</v>
      </c>
      <c r="AH112" s="14">
        <f t="shared" si="25"/>
        <v>13</v>
      </c>
      <c r="AI112" s="32">
        <v>12</v>
      </c>
      <c r="AJ112" s="15">
        <v>0</v>
      </c>
      <c r="AK112" s="15">
        <v>1</v>
      </c>
      <c r="AL112" s="15">
        <v>0</v>
      </c>
      <c r="AM112" s="14">
        <f t="shared" si="26"/>
        <v>13</v>
      </c>
      <c r="AN112" s="32">
        <v>9</v>
      </c>
      <c r="AO112" s="15">
        <v>1</v>
      </c>
      <c r="AP112" s="15">
        <v>3</v>
      </c>
      <c r="AQ112" s="15">
        <v>0</v>
      </c>
      <c r="AR112" s="14">
        <f t="shared" si="27"/>
        <v>13</v>
      </c>
      <c r="AS112" s="32">
        <v>9</v>
      </c>
      <c r="AT112" s="15">
        <v>1</v>
      </c>
      <c r="AU112" s="15">
        <v>3</v>
      </c>
      <c r="AV112" s="15">
        <v>0</v>
      </c>
      <c r="AW112" s="14">
        <f t="shared" si="28"/>
        <v>13</v>
      </c>
      <c r="AX112" s="32">
        <v>6</v>
      </c>
      <c r="AY112" s="15">
        <v>1</v>
      </c>
      <c r="AZ112" s="15">
        <v>6</v>
      </c>
      <c r="BA112" s="15">
        <v>0</v>
      </c>
      <c r="BB112" s="34">
        <f t="shared" si="29"/>
        <v>13</v>
      </c>
      <c r="BC112" s="32"/>
      <c r="BD112" s="15"/>
      <c r="BE112" s="15"/>
      <c r="BF112" s="15"/>
      <c r="BG112" s="43">
        <f t="shared" si="30"/>
        <v>0</v>
      </c>
    </row>
    <row r="113" spans="1:59" x14ac:dyDescent="0.25">
      <c r="B113" s="13">
        <v>42045</v>
      </c>
      <c r="C113" s="6" t="s">
        <v>98</v>
      </c>
      <c r="D113" s="55"/>
      <c r="E113" s="44"/>
      <c r="F113" s="53"/>
      <c r="G113" s="53"/>
      <c r="H113" s="53"/>
      <c r="I113" s="55">
        <f t="shared" si="20"/>
        <v>0</v>
      </c>
      <c r="J113" s="44">
        <v>18</v>
      </c>
      <c r="K113" s="46">
        <v>1</v>
      </c>
      <c r="L113" s="46">
        <v>0</v>
      </c>
      <c r="M113" s="46">
        <v>0</v>
      </c>
      <c r="N113" s="55">
        <f t="shared" si="21"/>
        <v>19</v>
      </c>
      <c r="O113" s="44">
        <v>18</v>
      </c>
      <c r="P113" s="46">
        <v>0</v>
      </c>
      <c r="Q113" s="46">
        <v>0</v>
      </c>
      <c r="R113" s="46">
        <v>0</v>
      </c>
      <c r="S113" s="55">
        <f t="shared" si="22"/>
        <v>18</v>
      </c>
      <c r="T113" s="44">
        <v>17</v>
      </c>
      <c r="U113" s="46">
        <v>0</v>
      </c>
      <c r="V113" s="46">
        <v>1</v>
      </c>
      <c r="W113" s="46">
        <v>0</v>
      </c>
      <c r="X113" s="55">
        <f t="shared" si="23"/>
        <v>18</v>
      </c>
      <c r="Y113" s="44">
        <v>16</v>
      </c>
      <c r="Z113" s="46">
        <v>0</v>
      </c>
      <c r="AA113" s="46">
        <v>1</v>
      </c>
      <c r="AB113" s="46">
        <v>0</v>
      </c>
      <c r="AC113" s="55">
        <f t="shared" si="24"/>
        <v>17</v>
      </c>
      <c r="AD113" s="44">
        <v>18</v>
      </c>
      <c r="AE113" s="46">
        <v>0</v>
      </c>
      <c r="AF113" s="46">
        <v>2</v>
      </c>
      <c r="AG113" s="46">
        <v>0</v>
      </c>
      <c r="AH113" s="55">
        <f t="shared" si="25"/>
        <v>20</v>
      </c>
      <c r="AI113" s="46">
        <v>5</v>
      </c>
      <c r="AJ113" s="46">
        <v>4</v>
      </c>
      <c r="AK113" s="46">
        <v>11</v>
      </c>
      <c r="AL113" s="46">
        <v>0</v>
      </c>
      <c r="AM113" s="55">
        <f t="shared" si="26"/>
        <v>20</v>
      </c>
      <c r="AN113" s="46">
        <v>3</v>
      </c>
      <c r="AO113" s="46">
        <v>4</v>
      </c>
      <c r="AP113" s="46">
        <v>13</v>
      </c>
      <c r="AQ113" s="46">
        <v>0</v>
      </c>
      <c r="AR113" s="55">
        <f t="shared" si="27"/>
        <v>20</v>
      </c>
      <c r="AS113" s="46">
        <v>0</v>
      </c>
      <c r="AT113" s="46">
        <v>0</v>
      </c>
      <c r="AU113" s="46">
        <v>18</v>
      </c>
      <c r="AV113" s="46">
        <v>0</v>
      </c>
      <c r="AW113" s="55">
        <f t="shared" si="28"/>
        <v>18</v>
      </c>
      <c r="AX113" s="46">
        <v>0</v>
      </c>
      <c r="AY113" s="46">
        <v>2</v>
      </c>
      <c r="AZ113" s="46">
        <v>15</v>
      </c>
      <c r="BA113" s="46">
        <v>0</v>
      </c>
      <c r="BB113" s="55">
        <f t="shared" si="29"/>
        <v>17</v>
      </c>
      <c r="BC113" s="46">
        <v>0</v>
      </c>
      <c r="BD113" s="46">
        <v>2</v>
      </c>
      <c r="BE113" s="46">
        <v>16</v>
      </c>
      <c r="BF113" s="46">
        <v>0</v>
      </c>
      <c r="BG113" s="55">
        <f>SUM(BC113:BF113)</f>
        <v>18</v>
      </c>
    </row>
    <row r="114" spans="1:59" x14ac:dyDescent="0.25">
      <c r="A114" s="33"/>
      <c r="B114" s="13">
        <v>42045</v>
      </c>
      <c r="C114" s="6" t="s">
        <v>99</v>
      </c>
      <c r="D114" s="55"/>
      <c r="E114" s="44"/>
      <c r="F114" s="53"/>
      <c r="G114" s="53"/>
      <c r="H114" s="53"/>
      <c r="I114" s="55">
        <f t="shared" si="20"/>
        <v>0</v>
      </c>
      <c r="J114" s="44">
        <v>18</v>
      </c>
      <c r="K114" s="46">
        <v>0</v>
      </c>
      <c r="L114" s="46">
        <v>0</v>
      </c>
      <c r="M114" s="46">
        <v>0</v>
      </c>
      <c r="N114" s="55">
        <f t="shared" si="21"/>
        <v>18</v>
      </c>
      <c r="O114" s="44">
        <v>16</v>
      </c>
      <c r="P114" s="46">
        <v>1</v>
      </c>
      <c r="Q114" s="46">
        <v>0</v>
      </c>
      <c r="R114" s="46">
        <v>0</v>
      </c>
      <c r="S114" s="55">
        <f t="shared" si="22"/>
        <v>17</v>
      </c>
      <c r="T114" s="44">
        <v>15</v>
      </c>
      <c r="U114" s="46">
        <v>0</v>
      </c>
      <c r="V114" s="46">
        <v>2</v>
      </c>
      <c r="W114" s="46">
        <v>0</v>
      </c>
      <c r="X114" s="55">
        <f t="shared" si="23"/>
        <v>17</v>
      </c>
      <c r="Y114" s="44">
        <v>16</v>
      </c>
      <c r="Z114" s="46">
        <v>0</v>
      </c>
      <c r="AA114" s="46">
        <v>2</v>
      </c>
      <c r="AB114" s="46">
        <v>0</v>
      </c>
      <c r="AC114" s="55">
        <f t="shared" si="24"/>
        <v>18</v>
      </c>
      <c r="AD114" s="44">
        <v>12</v>
      </c>
      <c r="AE114" s="46">
        <v>4</v>
      </c>
      <c r="AF114" s="46">
        <v>2</v>
      </c>
      <c r="AG114" s="46">
        <v>0</v>
      </c>
      <c r="AH114" s="55">
        <f t="shared" si="25"/>
        <v>18</v>
      </c>
      <c r="AI114" s="44">
        <v>6</v>
      </c>
      <c r="AJ114" s="45">
        <v>7</v>
      </c>
      <c r="AK114" s="45">
        <v>5</v>
      </c>
      <c r="AL114" s="45">
        <v>0</v>
      </c>
      <c r="AM114" s="55">
        <f t="shared" si="26"/>
        <v>18</v>
      </c>
      <c r="AN114" s="44">
        <v>8</v>
      </c>
      <c r="AO114" s="45">
        <v>4</v>
      </c>
      <c r="AP114" s="45">
        <v>4</v>
      </c>
      <c r="AQ114" s="45">
        <v>0</v>
      </c>
      <c r="AR114" s="55">
        <f t="shared" si="27"/>
        <v>16</v>
      </c>
      <c r="AS114" s="44">
        <v>3</v>
      </c>
      <c r="AT114" s="45">
        <v>5</v>
      </c>
      <c r="AU114" s="45">
        <v>8</v>
      </c>
      <c r="AV114" s="45">
        <v>0</v>
      </c>
      <c r="AW114" s="55">
        <f t="shared" si="28"/>
        <v>16</v>
      </c>
      <c r="AX114" s="44">
        <v>1</v>
      </c>
      <c r="AY114" s="45">
        <v>5</v>
      </c>
      <c r="AZ114" s="45">
        <v>11</v>
      </c>
      <c r="BA114" s="45">
        <v>0</v>
      </c>
      <c r="BB114" s="55">
        <f t="shared" si="29"/>
        <v>17</v>
      </c>
      <c r="BC114" s="46">
        <v>0</v>
      </c>
      <c r="BD114" s="46">
        <v>4</v>
      </c>
      <c r="BE114" s="46">
        <v>13</v>
      </c>
      <c r="BF114" s="46">
        <v>0</v>
      </c>
      <c r="BG114" s="55">
        <f t="shared" ref="BG114:BG120" si="31">SUM(BC114:BF114)</f>
        <v>17</v>
      </c>
    </row>
    <row r="115" spans="1:59" x14ac:dyDescent="0.25">
      <c r="A115" s="33"/>
      <c r="B115" s="13">
        <v>42045</v>
      </c>
      <c r="C115" s="6" t="s">
        <v>100</v>
      </c>
      <c r="D115" s="55"/>
      <c r="E115" s="44"/>
      <c r="F115" s="53"/>
      <c r="G115" s="53"/>
      <c r="H115" s="53"/>
      <c r="I115" s="55">
        <f t="shared" si="20"/>
        <v>0</v>
      </c>
      <c r="J115" s="44">
        <v>20</v>
      </c>
      <c r="K115" s="46">
        <v>0</v>
      </c>
      <c r="L115" s="46">
        <v>0</v>
      </c>
      <c r="M115" s="46">
        <v>0</v>
      </c>
      <c r="N115" s="55">
        <f t="shared" si="21"/>
        <v>20</v>
      </c>
      <c r="O115" s="44">
        <v>19</v>
      </c>
      <c r="P115" s="46">
        <v>1</v>
      </c>
      <c r="Q115" s="46">
        <v>0</v>
      </c>
      <c r="R115" s="46">
        <v>0</v>
      </c>
      <c r="S115" s="55">
        <f t="shared" si="22"/>
        <v>20</v>
      </c>
      <c r="T115" s="44">
        <v>20</v>
      </c>
      <c r="U115" s="46">
        <v>0</v>
      </c>
      <c r="V115" s="46">
        <v>0</v>
      </c>
      <c r="W115" s="46">
        <v>0</v>
      </c>
      <c r="X115" s="55">
        <f t="shared" si="23"/>
        <v>20</v>
      </c>
      <c r="Y115" s="44">
        <v>18</v>
      </c>
      <c r="Z115" s="46">
        <v>0</v>
      </c>
      <c r="AA115" s="46">
        <v>1</v>
      </c>
      <c r="AB115" s="46">
        <v>0</v>
      </c>
      <c r="AC115" s="55">
        <f t="shared" si="24"/>
        <v>19</v>
      </c>
      <c r="AD115" s="44">
        <v>18</v>
      </c>
      <c r="AE115" s="46">
        <v>0</v>
      </c>
      <c r="AF115" s="46">
        <v>1</v>
      </c>
      <c r="AG115" s="46">
        <v>0</v>
      </c>
      <c r="AH115" s="55">
        <f t="shared" si="25"/>
        <v>19</v>
      </c>
      <c r="AI115" s="44">
        <v>15</v>
      </c>
      <c r="AJ115" s="45">
        <v>1</v>
      </c>
      <c r="AK115" s="45">
        <v>2</v>
      </c>
      <c r="AL115" s="45">
        <v>0</v>
      </c>
      <c r="AM115" s="55">
        <f t="shared" si="26"/>
        <v>18</v>
      </c>
      <c r="AN115" s="44">
        <v>11</v>
      </c>
      <c r="AO115" s="45">
        <v>0</v>
      </c>
      <c r="AP115" s="45">
        <v>7</v>
      </c>
      <c r="AQ115" s="45">
        <v>0</v>
      </c>
      <c r="AR115" s="55">
        <f t="shared" si="27"/>
        <v>18</v>
      </c>
      <c r="AS115" s="44">
        <v>9</v>
      </c>
      <c r="AT115" s="45">
        <v>0</v>
      </c>
      <c r="AU115" s="45">
        <v>7</v>
      </c>
      <c r="AV115" s="45">
        <v>0</v>
      </c>
      <c r="AW115" s="55">
        <f t="shared" si="28"/>
        <v>16</v>
      </c>
      <c r="AX115" s="44">
        <v>4</v>
      </c>
      <c r="AY115" s="45">
        <v>3</v>
      </c>
      <c r="AZ115" s="45">
        <v>7</v>
      </c>
      <c r="BA115" s="45">
        <v>0</v>
      </c>
      <c r="BB115" s="55">
        <f t="shared" si="29"/>
        <v>14</v>
      </c>
      <c r="BC115" s="46">
        <v>3</v>
      </c>
      <c r="BD115" s="46">
        <v>2</v>
      </c>
      <c r="BE115" s="46">
        <v>12</v>
      </c>
      <c r="BF115" s="46">
        <v>0</v>
      </c>
      <c r="BG115" s="55">
        <f t="shared" si="31"/>
        <v>17</v>
      </c>
    </row>
    <row r="116" spans="1:59" x14ac:dyDescent="0.25">
      <c r="A116" s="33"/>
      <c r="B116" s="13">
        <v>42045</v>
      </c>
      <c r="C116" s="6" t="s">
        <v>101</v>
      </c>
      <c r="D116" s="55"/>
      <c r="E116" s="44"/>
      <c r="F116" s="53"/>
      <c r="G116" s="53"/>
      <c r="H116" s="53"/>
      <c r="I116" s="55">
        <f t="shared" si="20"/>
        <v>0</v>
      </c>
      <c r="J116" s="44">
        <v>18</v>
      </c>
      <c r="K116" s="46">
        <v>0</v>
      </c>
      <c r="L116" s="46">
        <v>1</v>
      </c>
      <c r="M116" s="46">
        <v>0</v>
      </c>
      <c r="N116" s="55">
        <f t="shared" si="21"/>
        <v>19</v>
      </c>
      <c r="O116" s="44">
        <v>18</v>
      </c>
      <c r="P116" s="46">
        <v>0</v>
      </c>
      <c r="Q116" s="46">
        <v>1</v>
      </c>
      <c r="R116" s="46">
        <v>0</v>
      </c>
      <c r="S116" s="55">
        <f t="shared" si="22"/>
        <v>19</v>
      </c>
      <c r="T116" s="44">
        <v>18</v>
      </c>
      <c r="U116" s="46">
        <v>0</v>
      </c>
      <c r="V116" s="46">
        <v>1</v>
      </c>
      <c r="W116" s="46">
        <v>0</v>
      </c>
      <c r="X116" s="55">
        <f t="shared" si="23"/>
        <v>19</v>
      </c>
      <c r="Y116" s="44">
        <v>16</v>
      </c>
      <c r="Z116" s="46">
        <v>1</v>
      </c>
      <c r="AA116" s="46">
        <v>1</v>
      </c>
      <c r="AB116" s="46">
        <v>0</v>
      </c>
      <c r="AC116" s="55">
        <f t="shared" si="24"/>
        <v>18</v>
      </c>
      <c r="AD116" s="44">
        <v>18</v>
      </c>
      <c r="AE116" s="46">
        <v>0</v>
      </c>
      <c r="AF116" s="46">
        <v>1</v>
      </c>
      <c r="AG116" s="46">
        <v>0</v>
      </c>
      <c r="AH116" s="55">
        <f t="shared" si="25"/>
        <v>19</v>
      </c>
      <c r="AI116" s="44">
        <v>2</v>
      </c>
      <c r="AJ116" s="45">
        <v>6</v>
      </c>
      <c r="AK116" s="45">
        <v>12</v>
      </c>
      <c r="AL116" s="45">
        <v>0</v>
      </c>
      <c r="AM116" s="55">
        <f t="shared" si="26"/>
        <v>20</v>
      </c>
      <c r="AN116" s="44">
        <v>2</v>
      </c>
      <c r="AO116" s="45">
        <v>4</v>
      </c>
      <c r="AP116" s="45">
        <v>12</v>
      </c>
      <c r="AQ116" s="45">
        <v>0</v>
      </c>
      <c r="AR116" s="55">
        <f t="shared" si="27"/>
        <v>18</v>
      </c>
      <c r="AS116" s="44">
        <v>0</v>
      </c>
      <c r="AT116" s="45">
        <v>1</v>
      </c>
      <c r="AU116" s="45">
        <v>18</v>
      </c>
      <c r="AV116" s="45">
        <v>0</v>
      </c>
      <c r="AW116" s="55">
        <f t="shared" si="28"/>
        <v>19</v>
      </c>
      <c r="AX116" s="44">
        <v>0</v>
      </c>
      <c r="AY116" s="45">
        <v>1</v>
      </c>
      <c r="AZ116" s="45">
        <v>16</v>
      </c>
      <c r="BA116" s="45">
        <v>0</v>
      </c>
      <c r="BB116" s="55">
        <f t="shared" si="29"/>
        <v>17</v>
      </c>
      <c r="BC116" s="46">
        <v>1</v>
      </c>
      <c r="BD116" s="46">
        <v>2</v>
      </c>
      <c r="BE116" s="46">
        <v>16</v>
      </c>
      <c r="BF116" s="46">
        <v>0</v>
      </c>
      <c r="BG116" s="55">
        <f t="shared" si="31"/>
        <v>19</v>
      </c>
    </row>
    <row r="117" spans="1:59" x14ac:dyDescent="0.25">
      <c r="A117" s="33"/>
      <c r="B117" s="13">
        <v>42045</v>
      </c>
      <c r="C117" s="6" t="s">
        <v>102</v>
      </c>
      <c r="D117" s="55"/>
      <c r="E117" s="44"/>
      <c r="F117" s="53"/>
      <c r="G117" s="53"/>
      <c r="H117" s="53"/>
      <c r="I117" s="55">
        <f t="shared" si="20"/>
        <v>0</v>
      </c>
      <c r="J117" s="44">
        <v>20</v>
      </c>
      <c r="K117" s="46">
        <v>0</v>
      </c>
      <c r="L117" s="46">
        <v>0</v>
      </c>
      <c r="M117" s="46">
        <v>0</v>
      </c>
      <c r="N117" s="55">
        <f t="shared" si="21"/>
        <v>20</v>
      </c>
      <c r="O117" s="44">
        <v>19</v>
      </c>
      <c r="P117" s="46">
        <v>1</v>
      </c>
      <c r="Q117" s="46">
        <v>0</v>
      </c>
      <c r="R117" s="46">
        <v>0</v>
      </c>
      <c r="S117" s="55">
        <f t="shared" si="22"/>
        <v>20</v>
      </c>
      <c r="T117" s="44">
        <v>20</v>
      </c>
      <c r="U117" s="46">
        <v>0</v>
      </c>
      <c r="V117" s="46">
        <v>0</v>
      </c>
      <c r="W117" s="46">
        <v>0</v>
      </c>
      <c r="X117" s="55">
        <f t="shared" si="23"/>
        <v>20</v>
      </c>
      <c r="Y117" s="44">
        <v>18</v>
      </c>
      <c r="Z117" s="46">
        <v>1</v>
      </c>
      <c r="AA117" s="46">
        <v>0</v>
      </c>
      <c r="AB117" s="46">
        <v>0</v>
      </c>
      <c r="AC117" s="55">
        <f t="shared" si="24"/>
        <v>19</v>
      </c>
      <c r="AD117" s="44">
        <v>17</v>
      </c>
      <c r="AE117" s="46">
        <v>0</v>
      </c>
      <c r="AF117" s="46">
        <v>0</v>
      </c>
      <c r="AG117" s="46">
        <v>0</v>
      </c>
      <c r="AH117" s="55">
        <f t="shared" si="25"/>
        <v>17</v>
      </c>
      <c r="AI117" s="44">
        <v>5</v>
      </c>
      <c r="AJ117" s="45">
        <v>6</v>
      </c>
      <c r="AK117" s="45">
        <v>8</v>
      </c>
      <c r="AL117" s="45">
        <v>0</v>
      </c>
      <c r="AM117" s="55">
        <f t="shared" si="26"/>
        <v>19</v>
      </c>
      <c r="AN117" s="44">
        <v>9</v>
      </c>
      <c r="AO117" s="45">
        <v>1</v>
      </c>
      <c r="AP117" s="45">
        <v>5</v>
      </c>
      <c r="AQ117" s="45">
        <v>0</v>
      </c>
      <c r="AR117" s="55">
        <f t="shared" si="27"/>
        <v>15</v>
      </c>
      <c r="AS117" s="44">
        <v>3</v>
      </c>
      <c r="AT117" s="45">
        <v>4</v>
      </c>
      <c r="AU117" s="45">
        <v>5</v>
      </c>
      <c r="AV117" s="45">
        <v>0</v>
      </c>
      <c r="AW117" s="55">
        <f t="shared" si="28"/>
        <v>12</v>
      </c>
      <c r="AX117" s="44">
        <v>3</v>
      </c>
      <c r="AY117" s="45">
        <v>0</v>
      </c>
      <c r="AZ117" s="45">
        <v>9</v>
      </c>
      <c r="BA117" s="45">
        <v>0</v>
      </c>
      <c r="BB117" s="55">
        <f t="shared" si="29"/>
        <v>12</v>
      </c>
      <c r="BC117" s="46">
        <v>0</v>
      </c>
      <c r="BD117" s="46">
        <v>0</v>
      </c>
      <c r="BE117" s="46">
        <v>15</v>
      </c>
      <c r="BF117" s="46">
        <v>0</v>
      </c>
      <c r="BG117" s="55">
        <f t="shared" si="31"/>
        <v>15</v>
      </c>
    </row>
    <row r="118" spans="1:59" x14ac:dyDescent="0.25">
      <c r="A118" s="33"/>
      <c r="B118" s="13">
        <v>42045</v>
      </c>
      <c r="C118" s="6" t="s">
        <v>103</v>
      </c>
      <c r="D118" s="55"/>
      <c r="E118" s="44"/>
      <c r="F118" s="53"/>
      <c r="G118" s="53"/>
      <c r="H118" s="53"/>
      <c r="I118" s="55">
        <f t="shared" si="20"/>
        <v>0</v>
      </c>
      <c r="J118" s="44">
        <v>19</v>
      </c>
      <c r="K118" s="46">
        <v>0</v>
      </c>
      <c r="L118" s="46">
        <v>0</v>
      </c>
      <c r="M118" s="46">
        <v>0</v>
      </c>
      <c r="N118" s="55">
        <f t="shared" si="21"/>
        <v>19</v>
      </c>
      <c r="O118" s="44">
        <v>19</v>
      </c>
      <c r="P118" s="46">
        <v>0</v>
      </c>
      <c r="Q118" s="46">
        <v>0</v>
      </c>
      <c r="R118" s="46">
        <v>0</v>
      </c>
      <c r="S118" s="55">
        <f t="shared" si="22"/>
        <v>19</v>
      </c>
      <c r="T118" s="44">
        <v>19</v>
      </c>
      <c r="U118" s="46">
        <v>0</v>
      </c>
      <c r="V118" s="46">
        <v>0</v>
      </c>
      <c r="W118" s="46">
        <v>0</v>
      </c>
      <c r="X118" s="55">
        <f t="shared" si="23"/>
        <v>19</v>
      </c>
      <c r="Y118" s="44">
        <v>17</v>
      </c>
      <c r="Z118" s="46">
        <v>0</v>
      </c>
      <c r="AA118" s="46">
        <v>1</v>
      </c>
      <c r="AB118" s="46">
        <v>0</v>
      </c>
      <c r="AC118" s="55">
        <f t="shared" si="24"/>
        <v>18</v>
      </c>
      <c r="AD118" s="44">
        <v>16</v>
      </c>
      <c r="AE118" s="46">
        <v>2</v>
      </c>
      <c r="AF118" s="46">
        <v>0</v>
      </c>
      <c r="AG118" s="46">
        <v>0</v>
      </c>
      <c r="AH118" s="55">
        <f t="shared" si="25"/>
        <v>18</v>
      </c>
      <c r="AI118" s="44">
        <v>7</v>
      </c>
      <c r="AJ118" s="45">
        <v>5</v>
      </c>
      <c r="AK118" s="45">
        <v>5</v>
      </c>
      <c r="AL118" s="45">
        <v>0</v>
      </c>
      <c r="AM118" s="55">
        <f t="shared" si="26"/>
        <v>17</v>
      </c>
      <c r="AN118" s="44">
        <v>3</v>
      </c>
      <c r="AO118" s="45">
        <v>5</v>
      </c>
      <c r="AP118" s="45">
        <v>5</v>
      </c>
      <c r="AQ118" s="45">
        <v>0</v>
      </c>
      <c r="AR118" s="55">
        <f t="shared" si="27"/>
        <v>13</v>
      </c>
      <c r="AS118" s="44">
        <v>1</v>
      </c>
      <c r="AT118" s="45">
        <v>4</v>
      </c>
      <c r="AU118" s="45">
        <v>8</v>
      </c>
      <c r="AV118" s="45">
        <v>0</v>
      </c>
      <c r="AW118" s="55">
        <f t="shared" si="28"/>
        <v>13</v>
      </c>
      <c r="AX118" s="44">
        <v>0</v>
      </c>
      <c r="AY118" s="45">
        <v>2</v>
      </c>
      <c r="AZ118" s="45">
        <v>9</v>
      </c>
      <c r="BA118" s="45">
        <v>0</v>
      </c>
      <c r="BB118" s="55">
        <f t="shared" si="29"/>
        <v>11</v>
      </c>
      <c r="BC118" s="46">
        <v>0</v>
      </c>
      <c r="BD118" s="46">
        <v>2</v>
      </c>
      <c r="BE118" s="46">
        <v>11</v>
      </c>
      <c r="BF118" s="46">
        <v>0</v>
      </c>
      <c r="BG118" s="55">
        <f t="shared" si="31"/>
        <v>13</v>
      </c>
    </row>
    <row r="119" spans="1:59" x14ac:dyDescent="0.25">
      <c r="A119" s="33"/>
      <c r="B119" s="13">
        <v>42052</v>
      </c>
      <c r="C119" s="6" t="s">
        <v>104</v>
      </c>
      <c r="D119" s="55"/>
      <c r="E119" s="46"/>
      <c r="F119" s="53"/>
      <c r="G119" s="53"/>
      <c r="H119" s="53"/>
      <c r="I119" s="55"/>
      <c r="J119" s="44">
        <v>17</v>
      </c>
      <c r="K119" s="46">
        <v>2</v>
      </c>
      <c r="L119" s="46">
        <v>1</v>
      </c>
      <c r="M119" s="46">
        <v>0</v>
      </c>
      <c r="N119" s="55">
        <f t="shared" si="21"/>
        <v>20</v>
      </c>
      <c r="O119" s="44">
        <v>14</v>
      </c>
      <c r="P119" s="46">
        <v>4</v>
      </c>
      <c r="Q119" s="46">
        <v>2</v>
      </c>
      <c r="R119" s="46">
        <v>0</v>
      </c>
      <c r="S119" s="55">
        <f t="shared" si="22"/>
        <v>20</v>
      </c>
      <c r="T119" s="44">
        <v>11</v>
      </c>
      <c r="U119" s="46">
        <v>2</v>
      </c>
      <c r="V119" s="46">
        <v>5</v>
      </c>
      <c r="W119" s="46">
        <v>0</v>
      </c>
      <c r="X119" s="55">
        <f t="shared" si="23"/>
        <v>18</v>
      </c>
      <c r="Y119" s="44">
        <v>10</v>
      </c>
      <c r="Z119" s="45">
        <v>3</v>
      </c>
      <c r="AA119" s="45">
        <v>3</v>
      </c>
      <c r="AB119" s="45">
        <v>0</v>
      </c>
      <c r="AC119" s="55">
        <f t="shared" si="24"/>
        <v>16</v>
      </c>
      <c r="AD119" s="44">
        <v>5</v>
      </c>
      <c r="AE119" s="45">
        <v>4</v>
      </c>
      <c r="AF119" s="45">
        <v>6</v>
      </c>
      <c r="AG119" s="45">
        <v>0</v>
      </c>
      <c r="AH119" s="55">
        <f t="shared" si="25"/>
        <v>15</v>
      </c>
      <c r="AI119" s="44">
        <v>0</v>
      </c>
      <c r="AJ119" s="45">
        <v>2</v>
      </c>
      <c r="AK119" s="45">
        <v>13</v>
      </c>
      <c r="AL119" s="45">
        <v>0</v>
      </c>
      <c r="AM119" s="55">
        <f t="shared" si="26"/>
        <v>15</v>
      </c>
      <c r="AN119" s="44">
        <v>0</v>
      </c>
      <c r="AO119" s="45">
        <v>1</v>
      </c>
      <c r="AP119" s="45">
        <v>16</v>
      </c>
      <c r="AQ119" s="45">
        <v>0</v>
      </c>
      <c r="AR119" s="55">
        <f t="shared" si="27"/>
        <v>17</v>
      </c>
      <c r="AS119" s="44">
        <v>0</v>
      </c>
      <c r="AT119" s="45">
        <v>1</v>
      </c>
      <c r="AU119" s="45">
        <v>10</v>
      </c>
      <c r="AV119" s="45">
        <v>0</v>
      </c>
      <c r="AW119" s="55">
        <f t="shared" si="28"/>
        <v>11</v>
      </c>
      <c r="AX119" s="44">
        <v>0</v>
      </c>
      <c r="AY119" s="45">
        <v>0</v>
      </c>
      <c r="AZ119" s="45">
        <v>13</v>
      </c>
      <c r="BA119" s="45">
        <v>0</v>
      </c>
      <c r="BB119" s="55">
        <f t="shared" si="29"/>
        <v>13</v>
      </c>
      <c r="BC119" s="46"/>
      <c r="BD119" s="46"/>
      <c r="BE119" s="46"/>
      <c r="BF119" s="46"/>
      <c r="BG119" s="55">
        <f t="shared" si="31"/>
        <v>0</v>
      </c>
    </row>
    <row r="120" spans="1:59" x14ac:dyDescent="0.25">
      <c r="A120" s="33"/>
      <c r="B120" s="13">
        <v>42052</v>
      </c>
      <c r="C120" s="6" t="s">
        <v>105</v>
      </c>
      <c r="D120" s="55"/>
      <c r="E120" s="46"/>
      <c r="F120" s="53"/>
      <c r="G120" s="53"/>
      <c r="H120" s="53"/>
      <c r="I120" s="55"/>
      <c r="J120" s="44">
        <v>18</v>
      </c>
      <c r="K120" s="46">
        <v>1</v>
      </c>
      <c r="L120" s="46">
        <v>1</v>
      </c>
      <c r="M120" s="46">
        <v>0</v>
      </c>
      <c r="N120" s="55">
        <f t="shared" si="21"/>
        <v>20</v>
      </c>
      <c r="O120" s="44">
        <v>12</v>
      </c>
      <c r="P120" s="46">
        <v>4</v>
      </c>
      <c r="Q120" s="46">
        <v>4</v>
      </c>
      <c r="R120" s="46">
        <v>0</v>
      </c>
      <c r="S120" s="55">
        <f t="shared" si="22"/>
        <v>20</v>
      </c>
      <c r="T120" s="44">
        <v>8</v>
      </c>
      <c r="U120" s="46">
        <v>3</v>
      </c>
      <c r="V120" s="46">
        <v>4</v>
      </c>
      <c r="W120" s="46">
        <v>0</v>
      </c>
      <c r="X120" s="55">
        <f t="shared" si="23"/>
        <v>15</v>
      </c>
      <c r="Y120" s="44">
        <v>8</v>
      </c>
      <c r="Z120" s="45">
        <v>1</v>
      </c>
      <c r="AA120" s="45">
        <v>4</v>
      </c>
      <c r="AB120" s="45">
        <v>0</v>
      </c>
      <c r="AC120" s="55">
        <f t="shared" si="24"/>
        <v>13</v>
      </c>
      <c r="AD120" s="44">
        <v>6</v>
      </c>
      <c r="AE120" s="45">
        <v>1</v>
      </c>
      <c r="AF120" s="45">
        <v>4</v>
      </c>
      <c r="AG120" s="45">
        <v>0</v>
      </c>
      <c r="AH120" s="55">
        <f t="shared" si="25"/>
        <v>11</v>
      </c>
      <c r="AI120" s="44">
        <v>7</v>
      </c>
      <c r="AJ120" s="45">
        <v>3</v>
      </c>
      <c r="AK120" s="45">
        <v>4</v>
      </c>
      <c r="AL120" s="45">
        <v>0</v>
      </c>
      <c r="AM120" s="55">
        <f t="shared" si="26"/>
        <v>14</v>
      </c>
      <c r="AN120" s="44">
        <v>0</v>
      </c>
      <c r="AO120" s="45">
        <v>2</v>
      </c>
      <c r="AP120" s="45">
        <v>12</v>
      </c>
      <c r="AQ120" s="45">
        <v>0</v>
      </c>
      <c r="AR120" s="55">
        <f t="shared" si="27"/>
        <v>14</v>
      </c>
      <c r="AS120" s="44">
        <v>0</v>
      </c>
      <c r="AT120" s="45">
        <v>0</v>
      </c>
      <c r="AU120" s="45">
        <v>11</v>
      </c>
      <c r="AV120" s="45">
        <v>0</v>
      </c>
      <c r="AW120" s="55">
        <f t="shared" si="28"/>
        <v>11</v>
      </c>
      <c r="AX120" s="44">
        <v>0</v>
      </c>
      <c r="AY120" s="45">
        <v>1</v>
      </c>
      <c r="AZ120" s="45">
        <v>10</v>
      </c>
      <c r="BA120" s="45">
        <v>0</v>
      </c>
      <c r="BB120" s="55">
        <f t="shared" si="29"/>
        <v>11</v>
      </c>
      <c r="BC120" s="46"/>
      <c r="BD120" s="46"/>
      <c r="BE120" s="46"/>
      <c r="BF120" s="46"/>
      <c r="BG120" s="55">
        <f t="shared" si="31"/>
        <v>0</v>
      </c>
    </row>
    <row r="121" spans="1:59" x14ac:dyDescent="0.25">
      <c r="C121" s="16" t="s">
        <v>21</v>
      </c>
      <c r="D121" s="36" t="e">
        <f>AVERAGE(D107:D112)</f>
        <v>#DIV/0!</v>
      </c>
      <c r="E121" s="18"/>
      <c r="F121" s="18"/>
      <c r="G121" s="18"/>
      <c r="H121" s="18"/>
      <c r="I121" s="36">
        <f>AVERAGE(I107:I120)</f>
        <v>0</v>
      </c>
      <c r="J121" s="18"/>
      <c r="K121" s="18"/>
      <c r="L121" s="18"/>
      <c r="M121" s="18"/>
      <c r="N121" s="36">
        <f>AVERAGE(N107:N120)</f>
        <v>18.428571428571427</v>
      </c>
      <c r="O121" s="18"/>
      <c r="P121" s="18"/>
      <c r="Q121" s="18"/>
      <c r="R121" s="18"/>
      <c r="S121" s="36">
        <f>AVERAGE(S107:S120)</f>
        <v>18.285714285714285</v>
      </c>
      <c r="T121" s="18"/>
      <c r="U121" s="18"/>
      <c r="V121" s="18"/>
      <c r="W121" s="18"/>
      <c r="X121" s="36">
        <f>AVERAGE(X107:X120)</f>
        <v>17.785714285714285</v>
      </c>
      <c r="Y121" s="18"/>
      <c r="Z121" s="18"/>
      <c r="AA121" s="18"/>
      <c r="AB121" s="18"/>
      <c r="AC121" s="36">
        <f>AVERAGE(AC107:AC120)</f>
        <v>17.214285714285715</v>
      </c>
      <c r="AD121" s="18"/>
      <c r="AE121" s="18"/>
      <c r="AF121" s="18"/>
      <c r="AG121" s="18"/>
      <c r="AH121" s="36">
        <f>AVERAGE(AH107:AH120)</f>
        <v>17.071428571428573</v>
      </c>
      <c r="AI121" s="18"/>
      <c r="AJ121" s="18"/>
      <c r="AK121" s="18"/>
      <c r="AL121" s="18"/>
      <c r="AM121" s="36">
        <f>AVERAGE(AM107:AM120)</f>
        <v>17.214285714285715</v>
      </c>
      <c r="AN121" s="18"/>
      <c r="AO121" s="18"/>
      <c r="AP121" s="18"/>
      <c r="AQ121" s="18"/>
      <c r="AR121" s="36">
        <f>AVERAGE(AR107:AR120)</f>
        <v>16.285714285714285</v>
      </c>
      <c r="AS121" s="18"/>
      <c r="AT121" s="18"/>
      <c r="AU121" s="18"/>
      <c r="AV121" s="18"/>
      <c r="AW121" s="36">
        <f>AVERAGE(AW107:AW120)</f>
        <v>14.714285714285714</v>
      </c>
      <c r="AX121" s="18"/>
      <c r="AY121" s="18"/>
      <c r="AZ121" s="18"/>
      <c r="BA121" s="18"/>
      <c r="BB121" s="36">
        <f>AVERAGE(BB107:BB120)</f>
        <v>13.214285714285714</v>
      </c>
      <c r="BC121" s="18"/>
      <c r="BD121" s="18"/>
      <c r="BE121" s="18"/>
      <c r="BF121" s="18"/>
      <c r="BG121" s="62">
        <f>AVERAGE(BG107:BG120)</f>
        <v>7.0714285714285712</v>
      </c>
    </row>
    <row r="122" spans="1:59" x14ac:dyDescent="0.25">
      <c r="A122" s="59"/>
      <c r="B122" s="59"/>
      <c r="C122" s="60" t="s">
        <v>12</v>
      </c>
      <c r="D122" s="61"/>
      <c r="E122" s="60"/>
      <c r="F122" s="60"/>
      <c r="G122" s="60"/>
      <c r="H122" s="60"/>
      <c r="I122" s="61">
        <f>SUM(I107:I120)</f>
        <v>0</v>
      </c>
      <c r="J122" s="60"/>
      <c r="K122" s="60"/>
      <c r="L122" s="60"/>
      <c r="M122" s="60"/>
      <c r="N122" s="61">
        <f>SUM(N107:N120)</f>
        <v>258</v>
      </c>
      <c r="O122" s="60"/>
      <c r="P122" s="60"/>
      <c r="Q122" s="60"/>
      <c r="R122" s="60"/>
      <c r="S122" s="60">
        <f>SUM(S107:S120)</f>
        <v>256</v>
      </c>
      <c r="T122" s="37"/>
      <c r="U122" s="60"/>
      <c r="V122" s="60"/>
      <c r="W122" s="60"/>
      <c r="X122" s="60">
        <f>SUM(X107:X120)</f>
        <v>249</v>
      </c>
      <c r="Y122" s="60"/>
      <c r="Z122" s="60"/>
      <c r="AA122" s="60"/>
      <c r="AB122" s="60"/>
      <c r="AC122" s="60">
        <f>SUM(AC107:AC120)</f>
        <v>241</v>
      </c>
      <c r="AD122" s="60"/>
      <c r="AE122" s="60"/>
      <c r="AF122" s="60"/>
      <c r="AG122" s="60"/>
      <c r="AH122" s="61">
        <f>SUM(AH107:AH120)</f>
        <v>239</v>
      </c>
      <c r="AI122" s="60"/>
      <c r="AJ122" s="60"/>
      <c r="AK122" s="60"/>
      <c r="AL122" s="60"/>
      <c r="AM122" s="61">
        <f>SUM(AM107:AM120)</f>
        <v>241</v>
      </c>
      <c r="AN122" s="60"/>
      <c r="AO122" s="60"/>
      <c r="AP122" s="60"/>
      <c r="AQ122" s="60"/>
      <c r="AR122" s="60">
        <f>SUM(AR107:AR120)</f>
        <v>228</v>
      </c>
      <c r="AS122" s="37"/>
      <c r="AT122" s="60"/>
      <c r="AU122" s="60"/>
      <c r="AV122" s="60"/>
      <c r="AW122" s="60">
        <f>SUM(AW107:AW120)</f>
        <v>206</v>
      </c>
      <c r="AX122" s="60"/>
      <c r="AY122" s="60"/>
      <c r="AZ122" s="60"/>
      <c r="BA122" s="60"/>
      <c r="BB122" s="60">
        <f>SUM(BB107:BB120)</f>
        <v>185</v>
      </c>
      <c r="BC122" s="60"/>
      <c r="BD122" s="60"/>
      <c r="BE122" s="60"/>
      <c r="BF122" s="60"/>
      <c r="BG122" s="60">
        <f>SUM(BG107:BG120)</f>
        <v>99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7"/>
  <sheetViews>
    <sheetView zoomScaleNormal="100" workbookViewId="0">
      <pane xSplit="2" ySplit="2" topLeftCell="C96" activePane="bottomRight" state="frozen"/>
      <selection pane="topRight" activeCell="C1" sqref="C1"/>
      <selection pane="bottomLeft" activeCell="A3" sqref="A3"/>
      <selection pane="bottomRight" activeCell="A90" sqref="A90"/>
    </sheetView>
  </sheetViews>
  <sheetFormatPr defaultRowHeight="15" x14ac:dyDescent="0.25"/>
  <cols>
    <col min="1" max="1" width="12.7109375" bestFit="1" customWidth="1"/>
    <col min="2" max="2" width="17.7109375" bestFit="1" customWidth="1"/>
    <col min="3" max="3" width="17.85546875" bestFit="1" customWidth="1"/>
    <col min="5" max="5" width="6.28515625" bestFit="1" customWidth="1"/>
    <col min="6" max="6" width="2.42578125" bestFit="1" customWidth="1"/>
    <col min="7" max="7" width="3" bestFit="1" customWidth="1"/>
    <col min="8" max="8" width="2.42578125" bestFit="1" customWidth="1"/>
    <col min="9" max="9" width="3.5703125" customWidth="1"/>
    <col min="10" max="10" width="3.7109375" bestFit="1" customWidth="1"/>
    <col min="11" max="11" width="2.42578125" bestFit="1" customWidth="1"/>
    <col min="12" max="12" width="3" bestFit="1" customWidth="1"/>
    <col min="13" max="13" width="3.85546875" bestFit="1" customWidth="1"/>
    <col min="14" max="14" width="5.28515625" bestFit="1" customWidth="1"/>
    <col min="15" max="15" width="4" bestFit="1" customWidth="1"/>
    <col min="16" max="16" width="2.42578125" bestFit="1" customWidth="1"/>
    <col min="17" max="17" width="3" bestFit="1" customWidth="1"/>
    <col min="18" max="18" width="2.42578125" bestFit="1" customWidth="1"/>
    <col min="19" max="19" width="5.28515625" bestFit="1" customWidth="1"/>
    <col min="20" max="20" width="3.7109375" bestFit="1" customWidth="1"/>
    <col min="21" max="21" width="5.140625" customWidth="1"/>
    <col min="22" max="22" width="3.28515625" bestFit="1" customWidth="1"/>
    <col min="23" max="23" width="2.42578125" bestFit="1" customWidth="1"/>
    <col min="24" max="24" width="5" customWidth="1"/>
    <col min="25" max="25" width="5.140625" bestFit="1" customWidth="1"/>
    <col min="26" max="26" width="5.28515625" customWidth="1"/>
    <col min="27" max="27" width="3" bestFit="1" customWidth="1"/>
    <col min="28" max="28" width="2.42578125" bestFit="1" customWidth="1"/>
    <col min="29" max="29" width="5.5703125" customWidth="1"/>
  </cols>
  <sheetData>
    <row r="1" spans="1:26" x14ac:dyDescent="0.25">
      <c r="A1" s="1" t="s">
        <v>213</v>
      </c>
      <c r="B1" s="2" t="s">
        <v>0</v>
      </c>
      <c r="C1" s="3"/>
      <c r="D1" s="4" t="s">
        <v>220</v>
      </c>
      <c r="E1" s="5" t="s">
        <v>1</v>
      </c>
      <c r="F1" s="2"/>
      <c r="G1" s="2"/>
      <c r="H1" s="1"/>
      <c r="I1" s="73" t="s">
        <v>2</v>
      </c>
      <c r="J1" s="2"/>
      <c r="K1" s="2"/>
      <c r="L1" s="1"/>
      <c r="M1" s="73" t="s">
        <v>3</v>
      </c>
      <c r="N1" s="2"/>
      <c r="O1" s="2"/>
      <c r="P1" s="1"/>
      <c r="Q1" s="73" t="s">
        <v>4</v>
      </c>
      <c r="R1" s="2"/>
      <c r="S1" s="2"/>
      <c r="T1" s="2"/>
      <c r="U1" s="2"/>
      <c r="V1" s="5" t="s">
        <v>5</v>
      </c>
      <c r="W1" s="2"/>
      <c r="X1" s="2"/>
      <c r="Y1" s="2"/>
      <c r="Z1" s="1"/>
    </row>
    <row r="2" spans="1:26" x14ac:dyDescent="0.25">
      <c r="A2" s="33"/>
      <c r="B2" s="33"/>
      <c r="C2" s="6"/>
      <c r="D2" s="7"/>
      <c r="E2" s="8" t="s">
        <v>7</v>
      </c>
      <c r="F2" s="9" t="s">
        <v>8</v>
      </c>
      <c r="G2" s="9" t="s">
        <v>9</v>
      </c>
      <c r="H2" s="67" t="s">
        <v>10</v>
      </c>
      <c r="I2" s="9" t="s">
        <v>7</v>
      </c>
      <c r="J2" s="9" t="s">
        <v>8</v>
      </c>
      <c r="K2" s="9" t="s">
        <v>9</v>
      </c>
      <c r="L2" s="67" t="s">
        <v>10</v>
      </c>
      <c r="M2" s="9" t="s">
        <v>7</v>
      </c>
      <c r="N2" s="9" t="s">
        <v>8</v>
      </c>
      <c r="O2" s="9" t="s">
        <v>9</v>
      </c>
      <c r="P2" s="67" t="s">
        <v>10</v>
      </c>
      <c r="Q2" s="9" t="s">
        <v>7</v>
      </c>
      <c r="R2" s="9" t="s">
        <v>8</v>
      </c>
      <c r="S2" s="9" t="s">
        <v>9</v>
      </c>
      <c r="T2" s="9" t="s">
        <v>10</v>
      </c>
      <c r="U2" s="9" t="s">
        <v>11</v>
      </c>
      <c r="V2" s="8" t="s">
        <v>7</v>
      </c>
      <c r="W2" s="9" t="s">
        <v>8</v>
      </c>
      <c r="X2" s="9" t="s">
        <v>9</v>
      </c>
      <c r="Y2" s="9" t="s">
        <v>10</v>
      </c>
      <c r="Z2" s="67" t="s">
        <v>12</v>
      </c>
    </row>
    <row r="3" spans="1:26" x14ac:dyDescent="0.25">
      <c r="A3" s="33"/>
      <c r="B3" s="33"/>
      <c r="C3" s="11" t="s">
        <v>118</v>
      </c>
      <c r="D3" s="12"/>
      <c r="E3" s="6"/>
      <c r="F3" s="33"/>
      <c r="G3" s="33"/>
      <c r="H3" s="43"/>
      <c r="I3" s="15"/>
      <c r="J3" s="33"/>
      <c r="K3" s="33"/>
      <c r="L3" s="43"/>
      <c r="M3" s="15"/>
      <c r="N3" s="33"/>
      <c r="O3" s="33"/>
      <c r="P3" s="43"/>
      <c r="Q3" s="15"/>
      <c r="R3" s="33"/>
      <c r="S3" s="33"/>
      <c r="T3" s="33"/>
      <c r="U3" s="33"/>
      <c r="V3" s="6"/>
      <c r="W3" s="33"/>
      <c r="X3" s="33"/>
      <c r="Y3" s="33"/>
      <c r="Z3" s="43"/>
    </row>
    <row r="4" spans="1:26" x14ac:dyDescent="0.25">
      <c r="A4" s="33"/>
      <c r="B4" s="33"/>
      <c r="C4" s="11" t="s">
        <v>119</v>
      </c>
      <c r="D4" s="33"/>
      <c r="E4" s="6"/>
      <c r="F4" s="33"/>
      <c r="G4" s="33"/>
      <c r="H4" s="43"/>
      <c r="I4" s="15"/>
      <c r="J4" s="33"/>
      <c r="K4" s="33"/>
      <c r="L4" s="43"/>
      <c r="M4" s="15"/>
      <c r="N4" s="33"/>
      <c r="O4" s="33"/>
      <c r="P4" s="43"/>
      <c r="Q4" s="15"/>
      <c r="R4" s="33"/>
      <c r="S4" s="33"/>
      <c r="T4" s="33"/>
      <c r="U4" s="33"/>
      <c r="V4" s="6"/>
      <c r="W4" s="33"/>
      <c r="X4" s="33"/>
      <c r="Y4" s="33"/>
      <c r="Z4" s="43"/>
    </row>
    <row r="5" spans="1:26" x14ac:dyDescent="0.25">
      <c r="A5" s="33"/>
      <c r="B5" s="13">
        <v>41288</v>
      </c>
      <c r="C5" s="33" t="s">
        <v>125</v>
      </c>
      <c r="D5" s="33">
        <f>3*60+3</f>
        <v>183</v>
      </c>
      <c r="E5" s="6">
        <v>0</v>
      </c>
      <c r="F5" s="33">
        <v>0</v>
      </c>
      <c r="G5" s="33">
        <v>8</v>
      </c>
      <c r="H5" s="55">
        <v>0</v>
      </c>
      <c r="I5" s="15">
        <v>8</v>
      </c>
      <c r="J5" s="46">
        <v>0</v>
      </c>
      <c r="K5" s="46">
        <v>0</v>
      </c>
      <c r="L5" s="55">
        <v>0</v>
      </c>
      <c r="M5" s="15">
        <v>8</v>
      </c>
      <c r="N5" s="46">
        <v>0</v>
      </c>
      <c r="O5" s="46">
        <v>0</v>
      </c>
      <c r="P5" s="55">
        <v>0</v>
      </c>
      <c r="Q5" s="15">
        <v>6</v>
      </c>
      <c r="R5" s="46">
        <v>1</v>
      </c>
      <c r="S5" s="46">
        <v>1</v>
      </c>
      <c r="T5" s="46">
        <v>0</v>
      </c>
      <c r="U5" s="33">
        <f t="shared" ref="U5:U11" si="0">SUM(Q5:T5)</f>
        <v>8</v>
      </c>
      <c r="V5" s="6">
        <v>0</v>
      </c>
      <c r="W5" s="46">
        <v>3</v>
      </c>
      <c r="X5" s="46">
        <v>5</v>
      </c>
      <c r="Y5" s="46">
        <v>0</v>
      </c>
      <c r="Z5" s="43">
        <f t="shared" ref="Z5:Z11" si="1">SUM(V5:Y5)</f>
        <v>8</v>
      </c>
    </row>
    <row r="6" spans="1:26" x14ac:dyDescent="0.25">
      <c r="A6" s="33"/>
      <c r="B6" s="13">
        <v>41288</v>
      </c>
      <c r="C6" s="33" t="s">
        <v>126</v>
      </c>
      <c r="D6" s="33">
        <f>60+40</f>
        <v>100</v>
      </c>
      <c r="E6" s="6">
        <v>0</v>
      </c>
      <c r="F6" s="33">
        <v>0</v>
      </c>
      <c r="G6" s="33">
        <v>10</v>
      </c>
      <c r="H6" s="55">
        <v>0</v>
      </c>
      <c r="I6" s="15">
        <v>4</v>
      </c>
      <c r="J6" s="46">
        <v>5</v>
      </c>
      <c r="K6" s="46">
        <v>1</v>
      </c>
      <c r="L6" s="55">
        <v>0</v>
      </c>
      <c r="M6" s="15">
        <v>3</v>
      </c>
      <c r="N6" s="46">
        <v>6</v>
      </c>
      <c r="O6" s="46">
        <v>1</v>
      </c>
      <c r="P6" s="55">
        <v>0</v>
      </c>
      <c r="Q6" s="15">
        <v>2</v>
      </c>
      <c r="R6" s="46">
        <v>4</v>
      </c>
      <c r="S6" s="46">
        <v>4</v>
      </c>
      <c r="T6" s="46">
        <v>0</v>
      </c>
      <c r="U6" s="33">
        <f t="shared" si="0"/>
        <v>10</v>
      </c>
      <c r="V6" s="6">
        <v>0</v>
      </c>
      <c r="W6" s="46">
        <v>2</v>
      </c>
      <c r="X6" s="46">
        <v>8</v>
      </c>
      <c r="Y6" s="46">
        <v>0</v>
      </c>
      <c r="Z6" s="43">
        <f t="shared" si="1"/>
        <v>10</v>
      </c>
    </row>
    <row r="7" spans="1:26" x14ac:dyDescent="0.25">
      <c r="A7" s="33"/>
      <c r="B7" s="13">
        <v>41288</v>
      </c>
      <c r="C7" s="33" t="s">
        <v>127</v>
      </c>
      <c r="D7" s="33">
        <f>2*60+45</f>
        <v>165</v>
      </c>
      <c r="E7" s="6">
        <v>0</v>
      </c>
      <c r="F7" s="33">
        <v>0</v>
      </c>
      <c r="G7" s="33">
        <v>10</v>
      </c>
      <c r="H7" s="55">
        <v>0</v>
      </c>
      <c r="I7" s="15">
        <v>0</v>
      </c>
      <c r="J7" s="46">
        <v>2</v>
      </c>
      <c r="K7" s="46">
        <v>8</v>
      </c>
      <c r="L7" s="55">
        <v>0</v>
      </c>
      <c r="M7" s="15">
        <v>4</v>
      </c>
      <c r="N7" s="46">
        <v>2</v>
      </c>
      <c r="O7" s="46">
        <v>1</v>
      </c>
      <c r="P7" s="55">
        <v>2</v>
      </c>
      <c r="Q7" s="15">
        <v>4</v>
      </c>
      <c r="R7" s="46">
        <v>2</v>
      </c>
      <c r="S7" s="46">
        <v>1</v>
      </c>
      <c r="T7" s="46">
        <v>2</v>
      </c>
      <c r="U7" s="33">
        <f t="shared" si="0"/>
        <v>9</v>
      </c>
      <c r="V7" s="6">
        <v>1</v>
      </c>
      <c r="W7" s="46">
        <v>2</v>
      </c>
      <c r="X7" s="46">
        <v>4</v>
      </c>
      <c r="Y7" s="46">
        <v>3</v>
      </c>
      <c r="Z7" s="43">
        <f t="shared" si="1"/>
        <v>10</v>
      </c>
    </row>
    <row r="8" spans="1:26" x14ac:dyDescent="0.25">
      <c r="A8" s="33"/>
      <c r="B8" s="13">
        <v>41298</v>
      </c>
      <c r="C8" s="33" t="s">
        <v>155</v>
      </c>
      <c r="D8" s="33">
        <f>60*2+15</f>
        <v>135</v>
      </c>
      <c r="E8" s="6"/>
      <c r="F8" s="33"/>
      <c r="G8" s="33"/>
      <c r="H8" s="43"/>
      <c r="I8" s="15">
        <v>7</v>
      </c>
      <c r="J8" s="46">
        <v>3</v>
      </c>
      <c r="K8" s="46">
        <v>0</v>
      </c>
      <c r="L8" s="55">
        <v>0</v>
      </c>
      <c r="M8" s="15">
        <v>7</v>
      </c>
      <c r="N8" s="46">
        <v>2</v>
      </c>
      <c r="O8" s="46">
        <v>0</v>
      </c>
      <c r="P8" s="55">
        <v>0</v>
      </c>
      <c r="Q8" s="15">
        <v>8</v>
      </c>
      <c r="R8" s="46">
        <v>2</v>
      </c>
      <c r="S8" s="46">
        <v>0</v>
      </c>
      <c r="T8" s="46">
        <v>0</v>
      </c>
      <c r="U8" s="33">
        <f t="shared" si="0"/>
        <v>10</v>
      </c>
      <c r="V8" s="6">
        <v>10</v>
      </c>
      <c r="W8" s="46">
        <v>0</v>
      </c>
      <c r="X8" s="46">
        <v>0</v>
      </c>
      <c r="Y8" s="46">
        <v>0</v>
      </c>
      <c r="Z8" s="43">
        <f t="shared" si="1"/>
        <v>10</v>
      </c>
    </row>
    <row r="9" spans="1:26" x14ac:dyDescent="0.25">
      <c r="A9" s="33"/>
      <c r="B9" s="13">
        <v>41298</v>
      </c>
      <c r="C9" s="33" t="s">
        <v>156</v>
      </c>
      <c r="D9" s="33">
        <f>60+45</f>
        <v>105</v>
      </c>
      <c r="E9" s="6">
        <v>0</v>
      </c>
      <c r="F9" s="33">
        <v>3</v>
      </c>
      <c r="G9" s="46">
        <v>7</v>
      </c>
      <c r="H9" s="55">
        <v>0</v>
      </c>
      <c r="I9" s="15">
        <v>2</v>
      </c>
      <c r="J9" s="46">
        <v>3</v>
      </c>
      <c r="K9" s="46">
        <v>5</v>
      </c>
      <c r="L9" s="55">
        <v>0</v>
      </c>
      <c r="M9" s="15">
        <v>5</v>
      </c>
      <c r="N9" s="46">
        <v>3</v>
      </c>
      <c r="O9" s="46">
        <v>2</v>
      </c>
      <c r="P9" s="55">
        <v>0</v>
      </c>
      <c r="Q9" s="15">
        <v>6</v>
      </c>
      <c r="R9" s="46">
        <v>3</v>
      </c>
      <c r="S9" s="46">
        <v>1</v>
      </c>
      <c r="T9" s="46">
        <v>0</v>
      </c>
      <c r="U9" s="33">
        <f t="shared" si="0"/>
        <v>10</v>
      </c>
      <c r="V9" s="6">
        <v>8</v>
      </c>
      <c r="W9" s="46">
        <v>2</v>
      </c>
      <c r="X9" s="46">
        <v>0</v>
      </c>
      <c r="Y9" s="46">
        <v>0</v>
      </c>
      <c r="Z9" s="43">
        <f t="shared" si="1"/>
        <v>10</v>
      </c>
    </row>
    <row r="10" spans="1:26" x14ac:dyDescent="0.25">
      <c r="A10" s="33"/>
      <c r="B10" s="13">
        <v>41298</v>
      </c>
      <c r="C10" s="33" t="s">
        <v>157</v>
      </c>
      <c r="D10" s="33">
        <f>2*60+30</f>
        <v>150</v>
      </c>
      <c r="E10" s="6">
        <v>0</v>
      </c>
      <c r="F10" s="33">
        <v>4</v>
      </c>
      <c r="G10" s="46">
        <v>6</v>
      </c>
      <c r="H10" s="55">
        <v>0</v>
      </c>
      <c r="I10" s="15">
        <v>10</v>
      </c>
      <c r="J10" s="46">
        <v>0</v>
      </c>
      <c r="K10" s="46">
        <v>0</v>
      </c>
      <c r="L10" s="55">
        <v>0</v>
      </c>
      <c r="M10" s="15">
        <v>10</v>
      </c>
      <c r="N10" s="46">
        <v>0</v>
      </c>
      <c r="O10" s="46">
        <v>0</v>
      </c>
      <c r="P10" s="55">
        <v>0</v>
      </c>
      <c r="Q10" s="15">
        <v>10</v>
      </c>
      <c r="R10" s="46">
        <v>0</v>
      </c>
      <c r="S10" s="46">
        <v>0</v>
      </c>
      <c r="T10" s="46">
        <v>0</v>
      </c>
      <c r="U10" s="33">
        <f t="shared" si="0"/>
        <v>10</v>
      </c>
      <c r="V10" s="6">
        <v>10</v>
      </c>
      <c r="W10" s="46">
        <v>0</v>
      </c>
      <c r="X10" s="46">
        <v>0</v>
      </c>
      <c r="Y10" s="46">
        <v>0</v>
      </c>
      <c r="Z10" s="43">
        <f t="shared" si="1"/>
        <v>10</v>
      </c>
    </row>
    <row r="11" spans="1:26" s="33" customFormat="1" x14ac:dyDescent="0.25">
      <c r="B11" s="13">
        <v>41317</v>
      </c>
      <c r="C11" s="33" t="s">
        <v>158</v>
      </c>
      <c r="D11" s="33">
        <f>60*2+30</f>
        <v>150</v>
      </c>
      <c r="E11" s="6">
        <v>0</v>
      </c>
      <c r="F11" s="33">
        <v>1</v>
      </c>
      <c r="G11" s="46">
        <v>10</v>
      </c>
      <c r="H11" s="55">
        <v>0</v>
      </c>
      <c r="I11" s="15">
        <v>1</v>
      </c>
      <c r="J11" s="46">
        <v>2</v>
      </c>
      <c r="K11" s="46">
        <v>8</v>
      </c>
      <c r="L11" s="55">
        <v>0</v>
      </c>
      <c r="M11" s="15">
        <v>1</v>
      </c>
      <c r="N11" s="46">
        <v>4</v>
      </c>
      <c r="O11" s="46">
        <v>6</v>
      </c>
      <c r="P11" s="55">
        <v>0</v>
      </c>
      <c r="Q11" s="15">
        <v>0</v>
      </c>
      <c r="R11" s="46">
        <v>2</v>
      </c>
      <c r="S11" s="46">
        <v>9</v>
      </c>
      <c r="T11" s="46">
        <v>0</v>
      </c>
      <c r="U11" s="33">
        <f t="shared" si="0"/>
        <v>11</v>
      </c>
      <c r="V11" s="6">
        <v>1</v>
      </c>
      <c r="W11" s="46">
        <v>5</v>
      </c>
      <c r="X11" s="46">
        <v>5</v>
      </c>
      <c r="Y11" s="46">
        <v>0</v>
      </c>
      <c r="Z11" s="43">
        <f t="shared" si="1"/>
        <v>11</v>
      </c>
    </row>
    <row r="12" spans="1:26" s="33" customFormat="1" x14ac:dyDescent="0.25">
      <c r="B12" s="13"/>
      <c r="E12" s="6"/>
      <c r="G12" s="46"/>
      <c r="H12" s="55"/>
      <c r="I12" s="15"/>
      <c r="J12" s="46"/>
      <c r="K12" s="46"/>
      <c r="L12" s="55"/>
      <c r="M12" s="15"/>
      <c r="N12" s="46"/>
      <c r="O12" s="46"/>
      <c r="P12" s="55"/>
      <c r="Q12" s="15"/>
      <c r="R12" s="46"/>
      <c r="S12" s="46"/>
      <c r="T12" s="46"/>
      <c r="V12" s="6"/>
      <c r="W12" s="46"/>
      <c r="X12" s="46"/>
      <c r="Y12" s="46"/>
      <c r="Z12" s="43"/>
    </row>
    <row r="13" spans="1:26" x14ac:dyDescent="0.25">
      <c r="A13" s="33"/>
      <c r="B13" s="33"/>
      <c r="C13" s="16" t="s">
        <v>21</v>
      </c>
      <c r="D13" s="17">
        <f>AVERAGE(D5:D10)</f>
        <v>139.66666666666666</v>
      </c>
      <c r="E13" s="16"/>
      <c r="F13" s="18"/>
      <c r="G13" s="18"/>
      <c r="H13" s="36"/>
      <c r="I13" s="56"/>
      <c r="J13" s="18"/>
      <c r="K13" s="18"/>
      <c r="L13" s="36"/>
      <c r="M13" s="56"/>
      <c r="N13" s="18"/>
      <c r="O13" s="18"/>
      <c r="P13" s="36"/>
      <c r="Q13" s="56"/>
      <c r="R13" s="18"/>
      <c r="S13" s="18"/>
      <c r="T13" s="18"/>
      <c r="U13" s="18">
        <f>AVERAGE(U5:U11)</f>
        <v>9.7142857142857135</v>
      </c>
      <c r="V13" s="16"/>
      <c r="W13" s="18"/>
      <c r="X13" s="18"/>
      <c r="Y13" s="18"/>
      <c r="Z13" s="36">
        <f>AVERAGE(Z5:Z11)</f>
        <v>9.8571428571428577</v>
      </c>
    </row>
    <row r="14" spans="1:26" x14ac:dyDescent="0.25">
      <c r="A14" s="33"/>
      <c r="B14" s="33"/>
      <c r="C14" s="19" t="s">
        <v>12</v>
      </c>
      <c r="D14" s="20"/>
      <c r="E14" s="19"/>
      <c r="F14" s="20"/>
      <c r="G14" s="20"/>
      <c r="H14" s="21"/>
      <c r="I14" s="74"/>
      <c r="J14" s="20"/>
      <c r="K14" s="20"/>
      <c r="L14" s="21"/>
      <c r="M14" s="74"/>
      <c r="N14" s="20"/>
      <c r="O14" s="20"/>
      <c r="P14" s="21"/>
      <c r="Q14" s="74"/>
      <c r="R14" s="20"/>
      <c r="S14" s="20"/>
      <c r="T14" s="20"/>
      <c r="U14" s="21">
        <f>SUM(U5:U11)</f>
        <v>68</v>
      </c>
      <c r="V14" s="22"/>
      <c r="W14" s="20"/>
      <c r="X14" s="20"/>
      <c r="Y14" s="20"/>
      <c r="Z14" s="21">
        <f>SUM(Z5:Z11)</f>
        <v>69</v>
      </c>
    </row>
    <row r="15" spans="1:26" x14ac:dyDescent="0.25">
      <c r="A15" s="23"/>
      <c r="B15" s="23"/>
      <c r="C15" s="11" t="s">
        <v>120</v>
      </c>
      <c r="D15" s="23"/>
      <c r="E15" s="25"/>
      <c r="F15" s="23"/>
      <c r="G15" s="23"/>
      <c r="H15" s="26"/>
      <c r="I15" s="23"/>
      <c r="J15" s="23"/>
      <c r="K15" s="23"/>
      <c r="L15" s="26"/>
      <c r="M15" s="23"/>
      <c r="N15" s="23"/>
      <c r="O15" s="23"/>
      <c r="P15" s="26"/>
      <c r="Q15" s="23"/>
      <c r="R15" s="23"/>
      <c r="S15" s="23"/>
      <c r="T15" s="23"/>
      <c r="U15" s="26"/>
      <c r="V15" s="25"/>
      <c r="W15" s="23"/>
      <c r="X15" s="23"/>
      <c r="Y15" s="23"/>
      <c r="Z15" s="26"/>
    </row>
    <row r="16" spans="1:26" x14ac:dyDescent="0.25">
      <c r="A16" s="33" t="s">
        <v>218</v>
      </c>
      <c r="B16" s="13">
        <v>41289</v>
      </c>
      <c r="C16" s="33" t="s">
        <v>128</v>
      </c>
      <c r="D16" s="33">
        <f>2*60+35</f>
        <v>155</v>
      </c>
      <c r="E16" s="6">
        <v>0</v>
      </c>
      <c r="F16" s="33">
        <v>0</v>
      </c>
      <c r="G16" s="33">
        <v>10</v>
      </c>
      <c r="H16" s="55">
        <v>0</v>
      </c>
      <c r="I16" s="15">
        <v>0</v>
      </c>
      <c r="J16" s="46">
        <v>0</v>
      </c>
      <c r="K16" s="46">
        <v>10</v>
      </c>
      <c r="L16" s="55">
        <v>0</v>
      </c>
      <c r="M16" s="15">
        <v>0</v>
      </c>
      <c r="N16" s="46">
        <v>1</v>
      </c>
      <c r="O16" s="46">
        <v>9</v>
      </c>
      <c r="P16" s="55">
        <v>0</v>
      </c>
      <c r="Q16" s="15">
        <v>0</v>
      </c>
      <c r="R16" s="46">
        <v>5</v>
      </c>
      <c r="S16" s="46">
        <v>4</v>
      </c>
      <c r="T16" s="46">
        <v>0</v>
      </c>
      <c r="U16" s="33">
        <f t="shared" ref="U16:U22" si="2">SUM(Q16:T16)</f>
        <v>9</v>
      </c>
      <c r="V16" s="6">
        <v>2</v>
      </c>
      <c r="W16" s="46">
        <v>2</v>
      </c>
      <c r="X16" s="46">
        <v>4</v>
      </c>
      <c r="Y16" s="46">
        <v>1</v>
      </c>
      <c r="Z16" s="43">
        <f t="shared" ref="Z16:Z22" si="3">SUM(V16:Y16)</f>
        <v>9</v>
      </c>
    </row>
    <row r="17" spans="1:38" x14ac:dyDescent="0.25">
      <c r="A17" s="33"/>
      <c r="B17" s="13">
        <v>41289</v>
      </c>
      <c r="C17" s="33" t="s">
        <v>129</v>
      </c>
      <c r="D17" s="33">
        <f>3*60+12</f>
        <v>192</v>
      </c>
      <c r="E17" s="6">
        <v>0</v>
      </c>
      <c r="F17" s="33">
        <v>0</v>
      </c>
      <c r="G17" s="33">
        <v>10</v>
      </c>
      <c r="H17" s="55">
        <v>0</v>
      </c>
      <c r="I17" s="15">
        <v>0</v>
      </c>
      <c r="J17" s="46">
        <v>0</v>
      </c>
      <c r="K17" s="46">
        <v>10</v>
      </c>
      <c r="L17" s="55">
        <v>0</v>
      </c>
      <c r="M17" s="15">
        <v>0</v>
      </c>
      <c r="N17" s="46">
        <v>1</v>
      </c>
      <c r="O17" s="46">
        <v>9</v>
      </c>
      <c r="P17" s="55">
        <v>1</v>
      </c>
      <c r="Q17" s="15">
        <v>0</v>
      </c>
      <c r="R17" s="46">
        <v>3</v>
      </c>
      <c r="S17" s="46">
        <v>6</v>
      </c>
      <c r="T17" s="46">
        <v>1</v>
      </c>
      <c r="U17" s="33">
        <f t="shared" si="2"/>
        <v>10</v>
      </c>
      <c r="V17" s="6">
        <v>1</v>
      </c>
      <c r="W17" s="46">
        <v>4</v>
      </c>
      <c r="X17" s="46">
        <v>4</v>
      </c>
      <c r="Y17" s="46">
        <v>2</v>
      </c>
      <c r="Z17" s="43">
        <f t="shared" si="3"/>
        <v>11</v>
      </c>
    </row>
    <row r="18" spans="1:38" x14ac:dyDescent="0.25">
      <c r="A18" s="33"/>
      <c r="B18" s="13">
        <v>41289</v>
      </c>
      <c r="C18" s="33" t="s">
        <v>130</v>
      </c>
      <c r="D18" s="33">
        <f>1*60+57</f>
        <v>117</v>
      </c>
      <c r="E18" s="6">
        <v>0</v>
      </c>
      <c r="F18" s="33">
        <v>0</v>
      </c>
      <c r="G18" s="33">
        <v>10</v>
      </c>
      <c r="H18" s="55">
        <v>0</v>
      </c>
      <c r="I18" s="15">
        <v>0</v>
      </c>
      <c r="J18" s="46">
        <v>2</v>
      </c>
      <c r="K18" s="46">
        <v>10</v>
      </c>
      <c r="L18" s="55">
        <v>0</v>
      </c>
      <c r="M18" s="15">
        <v>0</v>
      </c>
      <c r="N18" s="46">
        <v>3</v>
      </c>
      <c r="O18" s="46">
        <v>9</v>
      </c>
      <c r="P18" s="55">
        <v>0</v>
      </c>
      <c r="Q18" s="15">
        <v>0</v>
      </c>
      <c r="R18" s="46">
        <v>6</v>
      </c>
      <c r="S18" s="46">
        <v>6</v>
      </c>
      <c r="T18" s="46">
        <v>0</v>
      </c>
      <c r="U18" s="33">
        <f t="shared" si="2"/>
        <v>12</v>
      </c>
      <c r="V18" s="6">
        <v>5</v>
      </c>
      <c r="W18" s="46">
        <v>3</v>
      </c>
      <c r="X18" s="46">
        <v>3</v>
      </c>
      <c r="Y18" s="46">
        <v>0</v>
      </c>
      <c r="Z18" s="43">
        <f t="shared" si="3"/>
        <v>11</v>
      </c>
      <c r="AH18" s="33"/>
      <c r="AJ18" s="33"/>
      <c r="AK18" s="33"/>
      <c r="AL18" s="33"/>
    </row>
    <row r="19" spans="1:38" x14ac:dyDescent="0.25">
      <c r="A19" s="33"/>
      <c r="B19" s="13">
        <v>41296</v>
      </c>
      <c r="C19" s="33" t="s">
        <v>140</v>
      </c>
      <c r="D19" s="33">
        <f>2*60+30</f>
        <v>150</v>
      </c>
      <c r="E19" s="6"/>
      <c r="F19" s="33"/>
      <c r="G19" s="33"/>
      <c r="H19" s="43"/>
      <c r="I19" s="15"/>
      <c r="J19" s="33"/>
      <c r="K19" s="33"/>
      <c r="L19" s="43"/>
      <c r="M19" s="15">
        <v>0</v>
      </c>
      <c r="N19" s="46">
        <v>1</v>
      </c>
      <c r="O19" s="46">
        <v>9</v>
      </c>
      <c r="P19" s="55">
        <v>0</v>
      </c>
      <c r="Q19" s="15">
        <v>0</v>
      </c>
      <c r="R19" s="46">
        <v>0</v>
      </c>
      <c r="S19" s="46">
        <v>10</v>
      </c>
      <c r="T19" s="46">
        <v>0</v>
      </c>
      <c r="U19" s="33">
        <f t="shared" si="2"/>
        <v>10</v>
      </c>
      <c r="V19" s="6">
        <v>0</v>
      </c>
      <c r="W19" s="46">
        <v>0</v>
      </c>
      <c r="X19" s="46">
        <v>10</v>
      </c>
      <c r="Y19" s="46">
        <v>0</v>
      </c>
      <c r="Z19" s="43">
        <f t="shared" si="3"/>
        <v>10</v>
      </c>
      <c r="AH19" s="33"/>
      <c r="AJ19" s="33"/>
      <c r="AK19" s="33"/>
    </row>
    <row r="20" spans="1:38" x14ac:dyDescent="0.25">
      <c r="A20" s="33" t="s">
        <v>221</v>
      </c>
      <c r="B20" s="13">
        <v>41296</v>
      </c>
      <c r="C20" s="33" t="s">
        <v>141</v>
      </c>
      <c r="D20" s="33">
        <f>2*60+1</f>
        <v>121</v>
      </c>
      <c r="E20" s="68"/>
      <c r="F20" s="47"/>
      <c r="G20" s="47"/>
      <c r="H20" s="69"/>
      <c r="I20" s="48"/>
      <c r="J20" s="47"/>
      <c r="K20" s="47"/>
      <c r="L20" s="69"/>
      <c r="M20" s="48"/>
      <c r="N20" s="47"/>
      <c r="O20" s="47"/>
      <c r="P20" s="69"/>
      <c r="Q20" s="48"/>
      <c r="R20" s="47"/>
      <c r="S20" s="47"/>
      <c r="T20" s="47"/>
      <c r="U20" s="47">
        <f t="shared" si="2"/>
        <v>0</v>
      </c>
      <c r="V20" s="68"/>
      <c r="W20" s="47"/>
      <c r="X20" s="47"/>
      <c r="Y20" s="47"/>
      <c r="Z20" s="69">
        <f t="shared" si="3"/>
        <v>0</v>
      </c>
    </row>
    <row r="21" spans="1:38" x14ac:dyDescent="0.25">
      <c r="A21" s="33"/>
      <c r="B21" s="13">
        <v>41296</v>
      </c>
      <c r="C21" s="33" t="s">
        <v>142</v>
      </c>
      <c r="D21" s="33">
        <f>2*60+3</f>
        <v>123</v>
      </c>
      <c r="E21" s="6"/>
      <c r="F21" s="33"/>
      <c r="G21" s="33"/>
      <c r="H21" s="43"/>
      <c r="I21" s="15">
        <v>1</v>
      </c>
      <c r="J21" s="15">
        <v>0</v>
      </c>
      <c r="K21" s="15">
        <v>6</v>
      </c>
      <c r="L21" s="55">
        <v>0</v>
      </c>
      <c r="M21" s="15">
        <v>6</v>
      </c>
      <c r="N21" s="46">
        <v>0</v>
      </c>
      <c r="O21" s="46">
        <v>4</v>
      </c>
      <c r="P21" s="55">
        <v>0</v>
      </c>
      <c r="Q21" s="15">
        <v>5</v>
      </c>
      <c r="R21" s="46">
        <v>1</v>
      </c>
      <c r="S21" s="46">
        <v>4</v>
      </c>
      <c r="T21" s="46">
        <v>0</v>
      </c>
      <c r="U21" s="33">
        <f t="shared" si="2"/>
        <v>10</v>
      </c>
      <c r="V21" s="6">
        <v>4</v>
      </c>
      <c r="W21" s="46">
        <v>2</v>
      </c>
      <c r="X21" s="46">
        <v>4</v>
      </c>
      <c r="Y21" s="46">
        <v>0</v>
      </c>
      <c r="Z21" s="43">
        <f t="shared" si="3"/>
        <v>10</v>
      </c>
    </row>
    <row r="22" spans="1:38" x14ac:dyDescent="0.25">
      <c r="A22" s="33"/>
      <c r="B22" s="13"/>
      <c r="C22" s="6"/>
      <c r="D22" s="33"/>
      <c r="E22" s="6"/>
      <c r="F22" s="33"/>
      <c r="G22" s="33"/>
      <c r="H22" s="43"/>
      <c r="I22" s="15"/>
      <c r="J22" s="15"/>
      <c r="K22" s="15"/>
      <c r="L22" s="43"/>
      <c r="M22" s="15"/>
      <c r="N22" s="15"/>
      <c r="O22" s="15"/>
      <c r="P22" s="43"/>
      <c r="Q22" s="15"/>
      <c r="R22" s="33"/>
      <c r="S22" s="33"/>
      <c r="T22" s="33"/>
      <c r="U22" s="33">
        <f t="shared" si="2"/>
        <v>0</v>
      </c>
      <c r="V22" s="6"/>
      <c r="W22" s="15"/>
      <c r="X22" s="15"/>
      <c r="Y22" s="15"/>
      <c r="Z22" s="43">
        <f t="shared" si="3"/>
        <v>0</v>
      </c>
    </row>
    <row r="23" spans="1:38" x14ac:dyDescent="0.25">
      <c r="A23" s="33"/>
      <c r="B23" s="33"/>
      <c r="C23" s="16" t="s">
        <v>21</v>
      </c>
      <c r="D23" s="17">
        <f>AVERAGE(D16:D22)</f>
        <v>143</v>
      </c>
      <c r="E23" s="16"/>
      <c r="F23" s="18"/>
      <c r="G23" s="18"/>
      <c r="H23" s="36"/>
      <c r="I23" s="56"/>
      <c r="J23" s="18"/>
      <c r="K23" s="18"/>
      <c r="L23" s="36"/>
      <c r="M23" s="56"/>
      <c r="N23" s="18"/>
      <c r="O23" s="18"/>
      <c r="P23" s="36"/>
      <c r="Q23" s="56"/>
      <c r="R23" s="18"/>
      <c r="S23" s="18"/>
      <c r="T23" s="18"/>
      <c r="U23" s="18">
        <f>AVERAGE(U16:U22)</f>
        <v>7.2857142857142856</v>
      </c>
      <c r="V23" s="16"/>
      <c r="W23" s="18"/>
      <c r="X23" s="18"/>
      <c r="Y23" s="18"/>
      <c r="Z23" s="36">
        <f>AVERAGE(Z16:Z22)</f>
        <v>7.2857142857142856</v>
      </c>
    </row>
    <row r="24" spans="1:38" x14ac:dyDescent="0.25">
      <c r="A24" s="33"/>
      <c r="B24" s="33"/>
      <c r="C24" s="19" t="s">
        <v>12</v>
      </c>
      <c r="D24" s="20"/>
      <c r="E24" s="19"/>
      <c r="F24" s="20"/>
      <c r="G24" s="20"/>
      <c r="H24" s="21"/>
      <c r="I24" s="74"/>
      <c r="J24" s="20"/>
      <c r="K24" s="20"/>
      <c r="L24" s="21"/>
      <c r="M24" s="74"/>
      <c r="N24" s="20"/>
      <c r="O24" s="20"/>
      <c r="P24" s="21"/>
      <c r="Q24" s="74"/>
      <c r="R24" s="20"/>
      <c r="S24" s="20"/>
      <c r="T24" s="20"/>
      <c r="U24" s="21">
        <f>SUM(U16:U22)</f>
        <v>51</v>
      </c>
      <c r="V24" s="22"/>
      <c r="W24" s="20"/>
      <c r="X24" s="20"/>
      <c r="Y24" s="20"/>
      <c r="Z24" s="21">
        <f>SUM(Z16:Z22)</f>
        <v>51</v>
      </c>
    </row>
    <row r="25" spans="1:38" x14ac:dyDescent="0.25">
      <c r="A25" s="23"/>
      <c r="B25" s="23"/>
      <c r="C25" s="11" t="s">
        <v>132</v>
      </c>
      <c r="D25" s="23"/>
      <c r="E25" s="25"/>
      <c r="F25" s="23"/>
      <c r="G25" s="23"/>
      <c r="H25" s="26"/>
      <c r="I25" s="23"/>
      <c r="J25" s="23"/>
      <c r="K25" s="23"/>
      <c r="L25" s="26"/>
      <c r="M25" s="23"/>
      <c r="N25" s="23"/>
      <c r="O25" s="23"/>
      <c r="P25" s="26"/>
      <c r="Q25" s="23"/>
      <c r="R25" s="23"/>
      <c r="S25" s="23"/>
      <c r="T25" s="23"/>
      <c r="U25" s="26"/>
      <c r="V25" s="25"/>
      <c r="W25" s="23"/>
      <c r="X25" s="23"/>
      <c r="Y25" s="23"/>
      <c r="Z25" s="26"/>
    </row>
    <row r="26" spans="1:38" x14ac:dyDescent="0.25">
      <c r="A26" s="33"/>
      <c r="B26" s="13">
        <v>41296</v>
      </c>
      <c r="C26" s="33" t="s">
        <v>135</v>
      </c>
      <c r="D26" s="33">
        <f>60+35</f>
        <v>95</v>
      </c>
      <c r="E26" s="6"/>
      <c r="F26" s="33"/>
      <c r="G26" s="33"/>
      <c r="H26" s="43"/>
      <c r="I26" s="15"/>
      <c r="J26" s="15"/>
      <c r="K26" s="15"/>
      <c r="L26" s="43"/>
      <c r="M26" s="15">
        <v>0</v>
      </c>
      <c r="N26" s="15">
        <v>1</v>
      </c>
      <c r="O26" s="15">
        <v>9</v>
      </c>
      <c r="P26" s="55">
        <v>0</v>
      </c>
      <c r="Q26" s="15">
        <v>0</v>
      </c>
      <c r="R26" s="46">
        <v>3</v>
      </c>
      <c r="S26" s="46">
        <v>7</v>
      </c>
      <c r="T26" s="46">
        <v>0</v>
      </c>
      <c r="U26" s="33">
        <f t="shared" ref="U26:U32" si="4">SUM(Q26:T26)</f>
        <v>10</v>
      </c>
      <c r="V26" s="6">
        <v>2</v>
      </c>
      <c r="W26" s="46">
        <v>2</v>
      </c>
      <c r="X26" s="46">
        <v>7</v>
      </c>
      <c r="Y26" s="46">
        <v>0</v>
      </c>
      <c r="Z26" s="43">
        <f t="shared" ref="Z26:Z32" si="5">SUM(V26:Y26)</f>
        <v>11</v>
      </c>
    </row>
    <row r="27" spans="1:38" x14ac:dyDescent="0.25">
      <c r="A27" s="33"/>
      <c r="B27" s="13">
        <v>41296</v>
      </c>
      <c r="C27" s="33" t="s">
        <v>136</v>
      </c>
      <c r="D27" s="33">
        <f>60+10</f>
        <v>70</v>
      </c>
      <c r="E27" s="6"/>
      <c r="F27" s="33"/>
      <c r="G27" s="33"/>
      <c r="H27" s="43"/>
      <c r="I27" s="15"/>
      <c r="J27" s="15"/>
      <c r="K27" s="15"/>
      <c r="L27" s="43"/>
      <c r="M27" s="15">
        <v>0</v>
      </c>
      <c r="N27" s="15">
        <v>1</v>
      </c>
      <c r="O27" s="15">
        <v>9</v>
      </c>
      <c r="P27" s="55">
        <v>0</v>
      </c>
      <c r="Q27" s="15">
        <v>4</v>
      </c>
      <c r="R27" s="46">
        <v>1</v>
      </c>
      <c r="S27" s="46">
        <v>5</v>
      </c>
      <c r="T27" s="46">
        <v>0</v>
      </c>
      <c r="U27" s="33">
        <f t="shared" si="4"/>
        <v>10</v>
      </c>
      <c r="V27" s="6">
        <v>3</v>
      </c>
      <c r="W27" s="46">
        <v>0</v>
      </c>
      <c r="X27" s="46">
        <v>7</v>
      </c>
      <c r="Y27" s="46">
        <v>0</v>
      </c>
      <c r="Z27" s="43">
        <f t="shared" si="5"/>
        <v>10</v>
      </c>
    </row>
    <row r="28" spans="1:38" x14ac:dyDescent="0.25">
      <c r="A28" s="33"/>
      <c r="B28" s="13">
        <v>41354</v>
      </c>
      <c r="C28" s="33" t="s">
        <v>180</v>
      </c>
      <c r="D28" s="33">
        <f>60+25</f>
        <v>85</v>
      </c>
      <c r="E28" s="6"/>
      <c r="F28" s="33"/>
      <c r="G28" s="33"/>
      <c r="H28" s="43"/>
      <c r="I28" s="15"/>
      <c r="J28" s="15">
        <v>2</v>
      </c>
      <c r="K28" s="15"/>
      <c r="L28" s="43"/>
      <c r="M28" s="15"/>
      <c r="N28" s="15">
        <v>3</v>
      </c>
      <c r="O28" s="15"/>
      <c r="P28" s="43"/>
      <c r="Q28" s="15">
        <v>0</v>
      </c>
      <c r="R28" s="33">
        <v>0</v>
      </c>
      <c r="S28" s="33">
        <v>10</v>
      </c>
      <c r="T28" s="46">
        <v>0</v>
      </c>
      <c r="U28" s="33">
        <f t="shared" si="4"/>
        <v>10</v>
      </c>
      <c r="V28" s="6">
        <v>0</v>
      </c>
      <c r="W28" s="46">
        <v>0</v>
      </c>
      <c r="X28" s="46">
        <v>10</v>
      </c>
      <c r="Y28" s="46">
        <v>0</v>
      </c>
      <c r="Z28" s="43">
        <f t="shared" si="5"/>
        <v>10</v>
      </c>
    </row>
    <row r="29" spans="1:38" x14ac:dyDescent="0.25">
      <c r="A29" s="33"/>
      <c r="B29" s="13">
        <v>41354</v>
      </c>
      <c r="C29" s="33" t="s">
        <v>181</v>
      </c>
      <c r="D29" s="33">
        <f>60+15</f>
        <v>75</v>
      </c>
      <c r="E29" s="6"/>
      <c r="F29" s="33"/>
      <c r="G29" s="33"/>
      <c r="H29" s="43"/>
      <c r="I29" s="15"/>
      <c r="J29" s="15"/>
      <c r="K29" s="15"/>
      <c r="L29" s="43"/>
      <c r="M29" s="15"/>
      <c r="N29" s="15"/>
      <c r="O29" s="15"/>
      <c r="P29" s="43"/>
      <c r="Q29" s="15">
        <v>0</v>
      </c>
      <c r="R29" s="33">
        <v>0</v>
      </c>
      <c r="S29" s="33">
        <v>8</v>
      </c>
      <c r="T29" s="46">
        <v>0</v>
      </c>
      <c r="U29" s="33">
        <f t="shared" si="4"/>
        <v>8</v>
      </c>
      <c r="V29" s="6">
        <v>0</v>
      </c>
      <c r="W29" s="46">
        <v>0</v>
      </c>
      <c r="X29" s="46">
        <v>8</v>
      </c>
      <c r="Y29" s="46">
        <v>0</v>
      </c>
      <c r="Z29" s="43">
        <f t="shared" si="5"/>
        <v>8</v>
      </c>
    </row>
    <row r="30" spans="1:38" x14ac:dyDescent="0.25">
      <c r="A30" s="33"/>
      <c r="B30" s="13">
        <v>41354</v>
      </c>
      <c r="C30" s="33" t="s">
        <v>182</v>
      </c>
      <c r="D30" s="33">
        <f>60+50</f>
        <v>110</v>
      </c>
      <c r="E30" s="6"/>
      <c r="F30" s="33"/>
      <c r="G30" s="33"/>
      <c r="H30" s="43"/>
      <c r="I30" s="15">
        <v>0</v>
      </c>
      <c r="J30" s="15">
        <v>1</v>
      </c>
      <c r="K30" s="15">
        <v>7</v>
      </c>
      <c r="L30" s="55">
        <v>0</v>
      </c>
      <c r="M30" s="15"/>
      <c r="N30" s="15"/>
      <c r="O30" s="15"/>
      <c r="P30" s="43"/>
      <c r="Q30" s="15">
        <v>0</v>
      </c>
      <c r="R30" s="33">
        <v>0</v>
      </c>
      <c r="S30" s="33">
        <v>8</v>
      </c>
      <c r="T30" s="46">
        <v>0</v>
      </c>
      <c r="U30" s="33">
        <f t="shared" si="4"/>
        <v>8</v>
      </c>
      <c r="V30" s="6">
        <v>0</v>
      </c>
      <c r="W30" s="46">
        <v>0</v>
      </c>
      <c r="X30" s="46">
        <v>8</v>
      </c>
      <c r="Y30" s="46">
        <v>0</v>
      </c>
      <c r="Z30" s="43">
        <f t="shared" si="5"/>
        <v>8</v>
      </c>
    </row>
    <row r="31" spans="1:38" x14ac:dyDescent="0.25">
      <c r="A31" s="27"/>
      <c r="B31" s="13">
        <v>41354</v>
      </c>
      <c r="C31" s="33" t="s">
        <v>183</v>
      </c>
      <c r="D31" s="65">
        <f>2*60</f>
        <v>120</v>
      </c>
      <c r="E31" s="64">
        <v>0</v>
      </c>
      <c r="F31" s="65">
        <v>2</v>
      </c>
      <c r="G31" s="65">
        <v>9</v>
      </c>
      <c r="H31" s="78">
        <v>0</v>
      </c>
      <c r="I31" s="66">
        <v>0</v>
      </c>
      <c r="J31" s="66">
        <v>1</v>
      </c>
      <c r="K31" s="66">
        <v>10</v>
      </c>
      <c r="L31" s="78">
        <v>0</v>
      </c>
      <c r="M31" s="66"/>
      <c r="N31" s="66"/>
      <c r="O31" s="66"/>
      <c r="P31" s="78"/>
      <c r="Q31" s="66">
        <v>0</v>
      </c>
      <c r="R31" s="65">
        <v>0</v>
      </c>
      <c r="S31" s="65">
        <v>11</v>
      </c>
      <c r="T31" s="65">
        <v>0</v>
      </c>
      <c r="U31" s="65">
        <f t="shared" si="4"/>
        <v>11</v>
      </c>
      <c r="V31" s="64">
        <v>0</v>
      </c>
      <c r="W31" s="66">
        <v>0</v>
      </c>
      <c r="X31" s="66">
        <v>11</v>
      </c>
      <c r="Y31" s="66">
        <v>0</v>
      </c>
      <c r="Z31" s="78">
        <f t="shared" si="5"/>
        <v>11</v>
      </c>
    </row>
    <row r="32" spans="1:38" s="33" customFormat="1" x14ac:dyDescent="0.25">
      <c r="A32" s="27"/>
      <c r="B32" s="13">
        <v>41402</v>
      </c>
      <c r="C32" s="33" t="s">
        <v>197</v>
      </c>
      <c r="D32" s="65">
        <f>2*60+5</f>
        <v>125</v>
      </c>
      <c r="E32" s="64"/>
      <c r="F32" s="65"/>
      <c r="G32" s="65"/>
      <c r="H32" s="78"/>
      <c r="I32" s="66">
        <v>0</v>
      </c>
      <c r="J32" s="66">
        <v>1</v>
      </c>
      <c r="K32" s="66">
        <v>9</v>
      </c>
      <c r="L32" s="78">
        <v>0</v>
      </c>
      <c r="M32" s="66">
        <v>0</v>
      </c>
      <c r="N32" s="66">
        <v>2</v>
      </c>
      <c r="O32" s="66">
        <v>8</v>
      </c>
      <c r="P32" s="78">
        <v>0</v>
      </c>
      <c r="Q32" s="66">
        <v>0</v>
      </c>
      <c r="R32" s="65">
        <v>1</v>
      </c>
      <c r="S32" s="65">
        <v>8</v>
      </c>
      <c r="T32" s="65">
        <v>0</v>
      </c>
      <c r="U32" s="65">
        <f t="shared" si="4"/>
        <v>9</v>
      </c>
      <c r="V32" s="64">
        <v>0</v>
      </c>
      <c r="W32" s="66">
        <v>1</v>
      </c>
      <c r="X32" s="66">
        <v>9</v>
      </c>
      <c r="Y32" s="66">
        <v>0</v>
      </c>
      <c r="Z32" s="78">
        <f t="shared" si="5"/>
        <v>10</v>
      </c>
    </row>
    <row r="33" spans="1:26" x14ac:dyDescent="0.25">
      <c r="A33" s="27"/>
      <c r="B33" s="27"/>
      <c r="C33" s="16" t="s">
        <v>21</v>
      </c>
      <c r="D33" s="17">
        <f>AVERAGE(D26:D30)</f>
        <v>87</v>
      </c>
      <c r="E33" s="16"/>
      <c r="F33" s="18"/>
      <c r="G33" s="18"/>
      <c r="H33" s="36"/>
      <c r="I33" s="56"/>
      <c r="J33" s="18"/>
      <c r="K33" s="18"/>
      <c r="L33" s="36"/>
      <c r="M33" s="56"/>
      <c r="N33" s="18"/>
      <c r="O33" s="18"/>
      <c r="P33" s="36"/>
      <c r="Q33" s="56"/>
      <c r="R33" s="18"/>
      <c r="S33" s="18"/>
      <c r="T33" s="18"/>
      <c r="U33" s="18">
        <f>AVERAGE(U26:U32)</f>
        <v>9.4285714285714288</v>
      </c>
      <c r="V33" s="16"/>
      <c r="W33" s="18"/>
      <c r="X33" s="18"/>
      <c r="Y33" s="18"/>
      <c r="Z33" s="36">
        <f>AVERAGE(Z26:Z32)</f>
        <v>9.7142857142857135</v>
      </c>
    </row>
    <row r="34" spans="1:26" x14ac:dyDescent="0.25">
      <c r="A34" s="27"/>
      <c r="B34" s="27"/>
      <c r="C34" s="19" t="s">
        <v>12</v>
      </c>
      <c r="D34" s="20"/>
      <c r="E34" s="19"/>
      <c r="F34" s="20"/>
      <c r="G34" s="20"/>
      <c r="H34" s="21"/>
      <c r="I34" s="74"/>
      <c r="J34" s="20"/>
      <c r="K34" s="20"/>
      <c r="L34" s="21"/>
      <c r="M34" s="74"/>
      <c r="N34" s="20"/>
      <c r="O34" s="20"/>
      <c r="P34" s="21"/>
      <c r="Q34" s="74"/>
      <c r="R34" s="20"/>
      <c r="S34" s="20"/>
      <c r="T34" s="20"/>
      <c r="U34" s="22">
        <f>SUM(U26:U32)</f>
        <v>66</v>
      </c>
      <c r="V34" s="19"/>
      <c r="W34" s="20"/>
      <c r="X34" s="20"/>
      <c r="Y34" s="20"/>
      <c r="Z34" s="21">
        <f>SUM(Z26:Z32)</f>
        <v>68</v>
      </c>
    </row>
    <row r="35" spans="1:26" s="33" customFormat="1" x14ac:dyDescent="0.25">
      <c r="A35" s="23"/>
      <c r="B35" s="23"/>
      <c r="C35" s="11" t="s">
        <v>165</v>
      </c>
      <c r="D35" s="23"/>
      <c r="E35" s="25"/>
      <c r="F35" s="23"/>
      <c r="G35" s="23"/>
      <c r="H35" s="26"/>
      <c r="I35" s="23"/>
      <c r="J35" s="23"/>
      <c r="K35" s="23"/>
      <c r="L35" s="26"/>
      <c r="M35" s="23"/>
      <c r="N35" s="23"/>
      <c r="O35" s="23"/>
      <c r="P35" s="26"/>
      <c r="Q35" s="23"/>
      <c r="R35" s="23"/>
      <c r="S35" s="23"/>
      <c r="T35" s="23"/>
      <c r="U35" s="26"/>
      <c r="V35" s="25"/>
      <c r="W35" s="23"/>
      <c r="X35" s="23"/>
      <c r="Y35" s="23"/>
      <c r="Z35" s="26"/>
    </row>
    <row r="36" spans="1:26" s="33" customFormat="1" x14ac:dyDescent="0.25">
      <c r="B36" s="13">
        <v>41333</v>
      </c>
      <c r="C36" s="33" t="s">
        <v>159</v>
      </c>
      <c r="D36" s="33">
        <f>60*3+45</f>
        <v>225</v>
      </c>
      <c r="E36" s="6">
        <v>0</v>
      </c>
      <c r="F36" s="33">
        <v>0</v>
      </c>
      <c r="G36" s="46">
        <v>10</v>
      </c>
      <c r="H36" s="55">
        <v>0</v>
      </c>
      <c r="I36" s="15">
        <v>0</v>
      </c>
      <c r="J36" s="33">
        <v>0</v>
      </c>
      <c r="K36" s="46">
        <v>10</v>
      </c>
      <c r="L36" s="55">
        <v>0</v>
      </c>
      <c r="M36" s="15">
        <v>0</v>
      </c>
      <c r="N36" s="33">
        <v>0</v>
      </c>
      <c r="O36" s="46">
        <v>10</v>
      </c>
      <c r="P36" s="55">
        <v>0</v>
      </c>
      <c r="Q36" s="15">
        <v>0</v>
      </c>
      <c r="R36" s="33">
        <v>0</v>
      </c>
      <c r="S36" s="46">
        <v>10</v>
      </c>
      <c r="T36" s="46">
        <v>0</v>
      </c>
      <c r="U36" s="33">
        <f t="shared" ref="U36:U41" si="6">SUM(Q36:T36)</f>
        <v>10</v>
      </c>
      <c r="V36" s="6">
        <v>0</v>
      </c>
      <c r="W36" s="33">
        <v>0</v>
      </c>
      <c r="X36" s="46">
        <v>10</v>
      </c>
      <c r="Y36" s="46">
        <v>0</v>
      </c>
      <c r="Z36" s="43">
        <f t="shared" ref="Z36:Z41" si="7">SUM(V36:Y36)</f>
        <v>10</v>
      </c>
    </row>
    <row r="37" spans="1:26" s="33" customFormat="1" x14ac:dyDescent="0.25">
      <c r="B37" s="13">
        <v>41333</v>
      </c>
      <c r="C37" s="33" t="s">
        <v>160</v>
      </c>
      <c r="D37" s="33">
        <f>2*60+15</f>
        <v>135</v>
      </c>
      <c r="E37" s="6">
        <v>0</v>
      </c>
      <c r="F37" s="33">
        <v>0</v>
      </c>
      <c r="G37" s="46">
        <v>8</v>
      </c>
      <c r="H37" s="55">
        <v>0</v>
      </c>
      <c r="I37" s="15">
        <v>0</v>
      </c>
      <c r="J37" s="33">
        <v>0</v>
      </c>
      <c r="K37" s="46">
        <v>8</v>
      </c>
      <c r="L37" s="55">
        <v>0</v>
      </c>
      <c r="M37" s="15">
        <v>0</v>
      </c>
      <c r="N37" s="33">
        <v>0</v>
      </c>
      <c r="O37" s="46">
        <v>8</v>
      </c>
      <c r="P37" s="55">
        <v>0</v>
      </c>
      <c r="Q37" s="15">
        <v>0</v>
      </c>
      <c r="R37" s="33">
        <v>0</v>
      </c>
      <c r="S37" s="46">
        <v>8</v>
      </c>
      <c r="T37" s="46">
        <v>0</v>
      </c>
      <c r="U37" s="33">
        <f t="shared" si="6"/>
        <v>8</v>
      </c>
      <c r="V37" s="6">
        <v>0</v>
      </c>
      <c r="W37" s="33">
        <v>0</v>
      </c>
      <c r="X37" s="46">
        <v>8</v>
      </c>
      <c r="Y37" s="46">
        <v>0</v>
      </c>
      <c r="Z37" s="43">
        <f t="shared" si="7"/>
        <v>8</v>
      </c>
    </row>
    <row r="38" spans="1:26" s="33" customFormat="1" x14ac:dyDescent="0.25">
      <c r="B38" s="13">
        <v>41333</v>
      </c>
      <c r="C38" s="33" t="s">
        <v>161</v>
      </c>
      <c r="D38" s="33">
        <f>2*60+45</f>
        <v>165</v>
      </c>
      <c r="E38" s="6">
        <v>0</v>
      </c>
      <c r="F38" s="33">
        <v>0</v>
      </c>
      <c r="G38" s="46">
        <v>9</v>
      </c>
      <c r="H38" s="55">
        <v>0</v>
      </c>
      <c r="I38" s="15">
        <v>0</v>
      </c>
      <c r="J38" s="33">
        <v>0</v>
      </c>
      <c r="K38" s="46">
        <v>9</v>
      </c>
      <c r="L38" s="55">
        <v>0</v>
      </c>
      <c r="M38" s="15">
        <v>0</v>
      </c>
      <c r="N38" s="33">
        <v>0</v>
      </c>
      <c r="O38" s="46">
        <v>9</v>
      </c>
      <c r="P38" s="55">
        <v>0</v>
      </c>
      <c r="Q38" s="15">
        <v>0</v>
      </c>
      <c r="R38" s="33">
        <v>0</v>
      </c>
      <c r="S38" s="46">
        <v>9</v>
      </c>
      <c r="T38" s="46">
        <v>0</v>
      </c>
      <c r="U38" s="33">
        <f t="shared" si="6"/>
        <v>9</v>
      </c>
      <c r="V38" s="6">
        <v>0</v>
      </c>
      <c r="W38" s="33">
        <v>0</v>
      </c>
      <c r="X38" s="46">
        <v>9</v>
      </c>
      <c r="Y38" s="46">
        <v>0</v>
      </c>
      <c r="Z38" s="43">
        <f t="shared" si="7"/>
        <v>9</v>
      </c>
    </row>
    <row r="39" spans="1:26" s="33" customFormat="1" x14ac:dyDescent="0.25">
      <c r="B39" s="13">
        <v>41333</v>
      </c>
      <c r="C39" s="33" t="s">
        <v>162</v>
      </c>
      <c r="D39" s="33">
        <f>1*60+35</f>
        <v>95</v>
      </c>
      <c r="E39" s="6">
        <v>0</v>
      </c>
      <c r="F39" s="33">
        <v>0</v>
      </c>
      <c r="G39" s="46">
        <v>9</v>
      </c>
      <c r="H39" s="55">
        <v>0</v>
      </c>
      <c r="I39" s="15">
        <v>0</v>
      </c>
      <c r="J39" s="33">
        <v>0</v>
      </c>
      <c r="K39" s="46">
        <v>9</v>
      </c>
      <c r="L39" s="55">
        <v>0</v>
      </c>
      <c r="M39" s="15">
        <v>0</v>
      </c>
      <c r="N39" s="33">
        <v>0</v>
      </c>
      <c r="O39" s="46">
        <v>9</v>
      </c>
      <c r="P39" s="55">
        <v>0</v>
      </c>
      <c r="Q39" s="15">
        <v>0</v>
      </c>
      <c r="R39" s="33">
        <v>0</v>
      </c>
      <c r="S39" s="46">
        <v>9</v>
      </c>
      <c r="T39" s="46">
        <v>0</v>
      </c>
      <c r="U39" s="33">
        <f t="shared" si="6"/>
        <v>9</v>
      </c>
      <c r="V39" s="6">
        <v>0</v>
      </c>
      <c r="W39" s="33">
        <v>0</v>
      </c>
      <c r="X39" s="46">
        <v>9</v>
      </c>
      <c r="Y39" s="46">
        <v>0</v>
      </c>
      <c r="Z39" s="43">
        <f t="shared" si="7"/>
        <v>9</v>
      </c>
    </row>
    <row r="40" spans="1:26" s="33" customFormat="1" x14ac:dyDescent="0.25">
      <c r="B40" s="13">
        <v>41333</v>
      </c>
      <c r="C40" s="33" t="s">
        <v>163</v>
      </c>
      <c r="D40" s="33">
        <f>60+30</f>
        <v>90</v>
      </c>
      <c r="E40" s="6">
        <v>0</v>
      </c>
      <c r="F40" s="33">
        <v>0</v>
      </c>
      <c r="G40" s="46">
        <v>10</v>
      </c>
      <c r="H40" s="55">
        <v>0</v>
      </c>
      <c r="I40" s="15">
        <v>0</v>
      </c>
      <c r="J40" s="33">
        <v>0</v>
      </c>
      <c r="K40" s="46">
        <v>10</v>
      </c>
      <c r="L40" s="55">
        <v>0</v>
      </c>
      <c r="M40" s="15">
        <v>0</v>
      </c>
      <c r="N40" s="33">
        <v>0</v>
      </c>
      <c r="O40" s="46">
        <v>10</v>
      </c>
      <c r="P40" s="55">
        <v>0</v>
      </c>
      <c r="Q40" s="15">
        <v>0</v>
      </c>
      <c r="R40" s="33">
        <v>0</v>
      </c>
      <c r="S40" s="46">
        <v>10</v>
      </c>
      <c r="T40" s="46">
        <v>0</v>
      </c>
      <c r="U40" s="33">
        <f t="shared" si="6"/>
        <v>10</v>
      </c>
      <c r="V40" s="6">
        <v>0</v>
      </c>
      <c r="W40" s="33">
        <v>0</v>
      </c>
      <c r="X40" s="46">
        <v>10</v>
      </c>
      <c r="Y40" s="46">
        <v>0</v>
      </c>
      <c r="Z40" s="43">
        <f t="shared" si="7"/>
        <v>10</v>
      </c>
    </row>
    <row r="41" spans="1:26" s="33" customFormat="1" x14ac:dyDescent="0.25">
      <c r="A41" s="27"/>
      <c r="B41" s="13">
        <v>41333</v>
      </c>
      <c r="C41" s="33" t="s">
        <v>164</v>
      </c>
      <c r="D41" s="65">
        <f>60+30</f>
        <v>90</v>
      </c>
      <c r="E41" s="6">
        <v>0</v>
      </c>
      <c r="F41" s="33">
        <v>0</v>
      </c>
      <c r="G41" s="46">
        <v>9</v>
      </c>
      <c r="H41" s="55">
        <v>0</v>
      </c>
      <c r="I41" s="15">
        <v>0</v>
      </c>
      <c r="J41" s="33">
        <v>0</v>
      </c>
      <c r="K41" s="46">
        <v>9</v>
      </c>
      <c r="L41" s="55">
        <v>0</v>
      </c>
      <c r="M41" s="15">
        <v>0</v>
      </c>
      <c r="N41" s="33">
        <v>0</v>
      </c>
      <c r="O41" s="46">
        <v>9</v>
      </c>
      <c r="P41" s="55">
        <v>0</v>
      </c>
      <c r="Q41" s="15">
        <v>0</v>
      </c>
      <c r="R41" s="33">
        <v>0</v>
      </c>
      <c r="S41" s="46">
        <v>9</v>
      </c>
      <c r="T41" s="46">
        <v>0</v>
      </c>
      <c r="U41" s="65">
        <f t="shared" si="6"/>
        <v>9</v>
      </c>
      <c r="V41" s="6">
        <v>0</v>
      </c>
      <c r="W41" s="33">
        <v>0</v>
      </c>
      <c r="X41" s="46">
        <v>9</v>
      </c>
      <c r="Y41" s="46">
        <v>0</v>
      </c>
      <c r="Z41" s="78">
        <f t="shared" si="7"/>
        <v>9</v>
      </c>
    </row>
    <row r="42" spans="1:26" s="33" customFormat="1" x14ac:dyDescent="0.25">
      <c r="A42" s="27"/>
      <c r="B42" s="27"/>
      <c r="C42" s="16" t="s">
        <v>21</v>
      </c>
      <c r="D42" s="17">
        <f>AVERAGE(D36:D40)</f>
        <v>142</v>
      </c>
      <c r="E42" s="16"/>
      <c r="F42" s="18"/>
      <c r="G42" s="18"/>
      <c r="H42" s="36"/>
      <c r="I42" s="56"/>
      <c r="J42" s="18"/>
      <c r="K42" s="18"/>
      <c r="L42" s="36"/>
      <c r="M42" s="56"/>
      <c r="N42" s="18"/>
      <c r="O42" s="18"/>
      <c r="P42" s="36"/>
      <c r="Q42" s="56"/>
      <c r="R42" s="18"/>
      <c r="S42" s="18"/>
      <c r="T42" s="18"/>
      <c r="U42" s="18">
        <f>AVERAGE(U36:U41)</f>
        <v>9.1666666666666661</v>
      </c>
      <c r="V42" s="16"/>
      <c r="W42" s="18"/>
      <c r="X42" s="18"/>
      <c r="Y42" s="18"/>
      <c r="Z42" s="36">
        <f>AVERAGE(Z36:Z41)</f>
        <v>9.1666666666666661</v>
      </c>
    </row>
    <row r="43" spans="1:26" s="33" customFormat="1" x14ac:dyDescent="0.25">
      <c r="A43" s="27"/>
      <c r="B43" s="27"/>
      <c r="C43" s="19" t="s">
        <v>12</v>
      </c>
      <c r="D43" s="20"/>
      <c r="E43" s="19"/>
      <c r="F43" s="20"/>
      <c r="G43" s="20"/>
      <c r="H43" s="21"/>
      <c r="I43" s="74"/>
      <c r="J43" s="20"/>
      <c r="K43" s="20"/>
      <c r="L43" s="21"/>
      <c r="M43" s="74"/>
      <c r="N43" s="20"/>
      <c r="O43" s="20"/>
      <c r="P43" s="21"/>
      <c r="Q43" s="74"/>
      <c r="R43" s="20"/>
      <c r="S43" s="20"/>
      <c r="T43" s="20"/>
      <c r="U43" s="22">
        <f>SUM(U36:U41)</f>
        <v>55</v>
      </c>
      <c r="V43" s="19"/>
      <c r="W43" s="20"/>
      <c r="X43" s="20"/>
      <c r="Y43" s="20"/>
      <c r="Z43" s="21">
        <f>SUM(Z36:Z41)</f>
        <v>55</v>
      </c>
    </row>
    <row r="44" spans="1:26" x14ac:dyDescent="0.25">
      <c r="A44" s="23"/>
      <c r="B44" s="23"/>
      <c r="C44" s="11" t="s">
        <v>154</v>
      </c>
      <c r="D44" s="23"/>
      <c r="E44" s="25"/>
      <c r="F44" s="23"/>
      <c r="G44" s="23"/>
      <c r="H44" s="26"/>
      <c r="I44" s="23"/>
      <c r="J44" s="23"/>
      <c r="K44" s="23"/>
      <c r="L44" s="26"/>
      <c r="M44" s="23"/>
      <c r="N44" s="23"/>
      <c r="O44" s="23"/>
      <c r="P44" s="26"/>
      <c r="Q44" s="23"/>
      <c r="R44" s="23"/>
      <c r="S44" s="23"/>
      <c r="T44" s="23"/>
      <c r="U44" s="23"/>
      <c r="V44" s="25"/>
      <c r="W44" s="23"/>
      <c r="X44" s="23"/>
      <c r="Y44" s="23"/>
      <c r="Z44" s="26"/>
    </row>
    <row r="45" spans="1:26" x14ac:dyDescent="0.25">
      <c r="A45" s="27" t="s">
        <v>225</v>
      </c>
      <c r="B45" s="31">
        <v>41317</v>
      </c>
      <c r="C45" s="33" t="s">
        <v>153</v>
      </c>
      <c r="D45" s="33">
        <f>60*9</f>
        <v>540</v>
      </c>
      <c r="E45" s="6"/>
      <c r="F45" s="33"/>
      <c r="G45" s="33"/>
      <c r="H45" s="43"/>
      <c r="I45" s="15">
        <v>16</v>
      </c>
      <c r="J45" s="15">
        <v>1</v>
      </c>
      <c r="K45" s="15">
        <v>3</v>
      </c>
      <c r="L45" s="55">
        <v>0</v>
      </c>
      <c r="M45" s="15">
        <v>18</v>
      </c>
      <c r="N45" s="46">
        <v>1</v>
      </c>
      <c r="O45" s="46">
        <v>1</v>
      </c>
      <c r="P45" s="55">
        <v>0</v>
      </c>
      <c r="Q45" s="15">
        <v>18</v>
      </c>
      <c r="R45" s="46">
        <v>0</v>
      </c>
      <c r="S45" s="46">
        <v>2</v>
      </c>
      <c r="T45" s="46">
        <v>0</v>
      </c>
      <c r="U45" s="33">
        <f t="shared" ref="U45:U50" si="8">SUM(Q45:T45)</f>
        <v>20</v>
      </c>
      <c r="V45" s="6">
        <v>16</v>
      </c>
      <c r="W45" s="46">
        <v>2</v>
      </c>
      <c r="X45" s="46">
        <v>2</v>
      </c>
      <c r="Y45" s="46">
        <v>0</v>
      </c>
      <c r="Z45" s="43">
        <f t="shared" ref="Z45:Z50" si="9">SUM(V45:Y45)</f>
        <v>20</v>
      </c>
    </row>
    <row r="46" spans="1:26" x14ac:dyDescent="0.25">
      <c r="A46" s="27" t="s">
        <v>226</v>
      </c>
      <c r="B46" s="13">
        <v>41339</v>
      </c>
      <c r="C46" s="33" t="s">
        <v>177</v>
      </c>
      <c r="D46" s="33">
        <f>7*60+45</f>
        <v>465</v>
      </c>
      <c r="E46" s="6">
        <v>4</v>
      </c>
      <c r="F46" s="33">
        <v>2</v>
      </c>
      <c r="G46" s="46">
        <v>14</v>
      </c>
      <c r="H46" s="55">
        <v>0</v>
      </c>
      <c r="I46" s="15">
        <v>18</v>
      </c>
      <c r="J46" s="46">
        <v>0</v>
      </c>
      <c r="K46" s="46">
        <v>2</v>
      </c>
      <c r="L46" s="55">
        <v>0</v>
      </c>
      <c r="M46" s="15">
        <v>17</v>
      </c>
      <c r="N46" s="46">
        <v>1</v>
      </c>
      <c r="O46" s="46">
        <v>0</v>
      </c>
      <c r="P46" s="55">
        <v>1</v>
      </c>
      <c r="Q46" s="15">
        <v>13</v>
      </c>
      <c r="R46" s="46">
        <v>3</v>
      </c>
      <c r="S46" s="46">
        <v>2</v>
      </c>
      <c r="T46" s="46">
        <v>0</v>
      </c>
      <c r="U46" s="33">
        <f t="shared" si="8"/>
        <v>18</v>
      </c>
      <c r="V46" s="6">
        <v>15</v>
      </c>
      <c r="W46" s="46">
        <v>2</v>
      </c>
      <c r="X46" s="46">
        <v>1</v>
      </c>
      <c r="Y46" s="46">
        <v>0</v>
      </c>
      <c r="Z46" s="43">
        <f t="shared" si="9"/>
        <v>18</v>
      </c>
    </row>
    <row r="47" spans="1:26" x14ac:dyDescent="0.25">
      <c r="A47" s="27" t="s">
        <v>227</v>
      </c>
      <c r="B47" s="13">
        <v>41339</v>
      </c>
      <c r="C47" s="33" t="s">
        <v>178</v>
      </c>
      <c r="D47" s="33">
        <f>7*60+35</f>
        <v>455</v>
      </c>
      <c r="E47" s="32"/>
      <c r="F47" s="33"/>
      <c r="G47" s="33"/>
      <c r="H47" s="43"/>
      <c r="I47" s="27"/>
      <c r="J47" s="15"/>
      <c r="K47" s="15"/>
      <c r="L47" s="43"/>
      <c r="M47" s="27">
        <v>21</v>
      </c>
      <c r="N47" s="15">
        <v>3</v>
      </c>
      <c r="O47" s="15">
        <v>0</v>
      </c>
      <c r="P47" s="55">
        <v>0</v>
      </c>
      <c r="Q47" s="27">
        <v>22</v>
      </c>
      <c r="R47" s="45">
        <v>2</v>
      </c>
      <c r="S47" s="45">
        <v>0</v>
      </c>
      <c r="T47" s="45">
        <v>0</v>
      </c>
      <c r="U47" s="33">
        <f t="shared" si="8"/>
        <v>24</v>
      </c>
      <c r="V47" s="32">
        <v>22</v>
      </c>
      <c r="W47" s="45">
        <v>2</v>
      </c>
      <c r="X47" s="45">
        <v>0</v>
      </c>
      <c r="Y47" s="45">
        <v>0</v>
      </c>
      <c r="Z47" s="43">
        <f t="shared" si="9"/>
        <v>24</v>
      </c>
    </row>
    <row r="48" spans="1:26" x14ac:dyDescent="0.25">
      <c r="A48" s="27"/>
      <c r="B48" s="13">
        <v>41339</v>
      </c>
      <c r="C48" s="33" t="s">
        <v>179</v>
      </c>
      <c r="D48" s="33">
        <f>7*60+25</f>
        <v>445</v>
      </c>
      <c r="E48" s="32"/>
      <c r="F48" s="33"/>
      <c r="G48" s="33"/>
      <c r="H48" s="43"/>
      <c r="I48" s="27">
        <v>11</v>
      </c>
      <c r="J48" s="15">
        <v>4</v>
      </c>
      <c r="K48" s="15">
        <v>5</v>
      </c>
      <c r="L48" s="55">
        <v>0</v>
      </c>
      <c r="M48" s="27">
        <v>12</v>
      </c>
      <c r="N48" s="45">
        <v>3</v>
      </c>
      <c r="O48" s="45">
        <v>5</v>
      </c>
      <c r="P48" s="52">
        <v>0</v>
      </c>
      <c r="Q48" s="27">
        <v>14</v>
      </c>
      <c r="R48" s="45">
        <v>0</v>
      </c>
      <c r="S48" s="45">
        <v>6</v>
      </c>
      <c r="T48" s="45">
        <v>0</v>
      </c>
      <c r="U48" s="33">
        <f t="shared" si="8"/>
        <v>20</v>
      </c>
      <c r="V48" s="32">
        <v>15</v>
      </c>
      <c r="W48" s="45">
        <v>0</v>
      </c>
      <c r="X48" s="45">
        <v>4</v>
      </c>
      <c r="Y48" s="45">
        <v>0</v>
      </c>
      <c r="Z48" s="43">
        <f t="shared" si="9"/>
        <v>19</v>
      </c>
    </row>
    <row r="49" spans="1:26" x14ac:dyDescent="0.25">
      <c r="A49" s="27"/>
      <c r="B49" s="31"/>
      <c r="C49" s="6"/>
      <c r="D49" s="33"/>
      <c r="E49" s="6"/>
      <c r="F49" s="33"/>
      <c r="G49" s="33"/>
      <c r="H49" s="43"/>
      <c r="I49" s="15"/>
      <c r="J49" s="15"/>
      <c r="K49" s="15"/>
      <c r="L49" s="43"/>
      <c r="M49" s="15"/>
      <c r="N49" s="15"/>
      <c r="O49" s="15"/>
      <c r="P49" s="43"/>
      <c r="Q49" s="15"/>
      <c r="R49" s="33"/>
      <c r="S49" s="33"/>
      <c r="T49" s="33"/>
      <c r="U49" s="33">
        <f t="shared" si="8"/>
        <v>0</v>
      </c>
      <c r="V49" s="6"/>
      <c r="W49" s="15"/>
      <c r="X49" s="15"/>
      <c r="Y49" s="15"/>
      <c r="Z49" s="43">
        <f t="shared" si="9"/>
        <v>0</v>
      </c>
    </row>
    <row r="50" spans="1:26" x14ac:dyDescent="0.25">
      <c r="A50" s="27"/>
      <c r="B50" s="31"/>
      <c r="C50" s="6"/>
      <c r="D50" s="33"/>
      <c r="E50" s="6"/>
      <c r="F50" s="33"/>
      <c r="G50" s="33"/>
      <c r="H50" s="43"/>
      <c r="I50" s="15"/>
      <c r="J50" s="15"/>
      <c r="K50" s="15"/>
      <c r="L50" s="43"/>
      <c r="M50" s="15"/>
      <c r="N50" s="15"/>
      <c r="O50" s="15"/>
      <c r="P50" s="43"/>
      <c r="Q50" s="15"/>
      <c r="R50" s="33"/>
      <c r="S50" s="33"/>
      <c r="T50" s="33"/>
      <c r="U50" s="43">
        <f t="shared" si="8"/>
        <v>0</v>
      </c>
      <c r="V50" s="6"/>
      <c r="W50" s="15"/>
      <c r="X50" s="15"/>
      <c r="Y50" s="15"/>
      <c r="Z50" s="43">
        <f t="shared" si="9"/>
        <v>0</v>
      </c>
    </row>
    <row r="51" spans="1:26" x14ac:dyDescent="0.25">
      <c r="A51" s="27"/>
      <c r="B51" s="27"/>
      <c r="C51" s="16" t="s">
        <v>21</v>
      </c>
      <c r="D51" s="17">
        <f>AVERAGE(D46:D50)</f>
        <v>455</v>
      </c>
      <c r="E51" s="16"/>
      <c r="F51" s="18"/>
      <c r="G51" s="18"/>
      <c r="H51" s="36"/>
      <c r="I51" s="56"/>
      <c r="J51" s="18"/>
      <c r="K51" s="18"/>
      <c r="L51" s="36"/>
      <c r="M51" s="56"/>
      <c r="N51" s="18"/>
      <c r="O51" s="18"/>
      <c r="P51" s="36"/>
      <c r="Q51" s="56"/>
      <c r="R51" s="18"/>
      <c r="S51" s="18"/>
      <c r="T51" s="18"/>
      <c r="U51" s="18">
        <f>AVERAGE(U45:U50)</f>
        <v>13.666666666666666</v>
      </c>
      <c r="V51" s="16"/>
      <c r="W51" s="18"/>
      <c r="X51" s="18"/>
      <c r="Y51" s="18"/>
      <c r="Z51" s="36">
        <f>AVERAGE(Z45:Z50)</f>
        <v>13.5</v>
      </c>
    </row>
    <row r="52" spans="1:26" x14ac:dyDescent="0.25">
      <c r="A52" s="27"/>
      <c r="B52" s="27"/>
      <c r="C52" s="19" t="s">
        <v>12</v>
      </c>
      <c r="D52" s="20"/>
      <c r="E52" s="19"/>
      <c r="F52" s="20"/>
      <c r="G52" s="20"/>
      <c r="H52" s="21"/>
      <c r="I52" s="74"/>
      <c r="J52" s="20"/>
      <c r="K52" s="20"/>
      <c r="L52" s="21"/>
      <c r="M52" s="74"/>
      <c r="N52" s="20"/>
      <c r="O52" s="20"/>
      <c r="P52" s="21"/>
      <c r="Q52" s="74"/>
      <c r="R52" s="20"/>
      <c r="S52" s="20"/>
      <c r="T52" s="20"/>
      <c r="U52" s="22">
        <f>SUM(U45:U50)</f>
        <v>82</v>
      </c>
      <c r="V52" s="19"/>
      <c r="W52" s="20"/>
      <c r="X52" s="20"/>
      <c r="Y52" s="20"/>
      <c r="Z52" s="21">
        <f>SUM(Z45:Z50)</f>
        <v>81</v>
      </c>
    </row>
    <row r="53" spans="1:26" x14ac:dyDescent="0.25">
      <c r="A53" s="23"/>
      <c r="B53" s="23"/>
      <c r="C53" s="11" t="s">
        <v>131</v>
      </c>
      <c r="D53" s="23"/>
      <c r="E53" s="25"/>
      <c r="F53" s="23"/>
      <c r="G53" s="23"/>
      <c r="H53" s="26"/>
      <c r="I53" s="23"/>
      <c r="J53" s="23"/>
      <c r="K53" s="23"/>
      <c r="L53" s="26"/>
      <c r="M53" s="23"/>
      <c r="N53" s="23"/>
      <c r="O53" s="23"/>
      <c r="P53" s="26"/>
      <c r="Q53" s="23"/>
      <c r="R53" s="23"/>
      <c r="S53" s="23"/>
      <c r="T53" s="23"/>
      <c r="U53" s="26"/>
      <c r="V53" s="25"/>
      <c r="W53" s="23"/>
      <c r="X53" s="23"/>
      <c r="Y53" s="23"/>
      <c r="Z53" s="26"/>
    </row>
    <row r="54" spans="1:26" x14ac:dyDescent="0.25">
      <c r="A54" s="33"/>
      <c r="B54" s="13">
        <v>41296</v>
      </c>
      <c r="C54" s="33" t="s">
        <v>151</v>
      </c>
      <c r="D54" s="33">
        <f>9*60+45</f>
        <v>585</v>
      </c>
      <c r="E54" s="6"/>
      <c r="F54" s="33"/>
      <c r="G54" s="33"/>
      <c r="H54" s="43"/>
      <c r="I54" s="15"/>
      <c r="J54" s="15"/>
      <c r="K54" s="15"/>
      <c r="L54" s="43"/>
      <c r="M54" s="15">
        <v>0</v>
      </c>
      <c r="N54" s="15">
        <v>1</v>
      </c>
      <c r="O54" s="15">
        <v>8</v>
      </c>
      <c r="P54" s="55">
        <v>0</v>
      </c>
      <c r="Q54" s="15">
        <v>0</v>
      </c>
      <c r="R54" s="46">
        <v>0</v>
      </c>
      <c r="S54" s="46">
        <v>10</v>
      </c>
      <c r="T54" s="46">
        <v>0</v>
      </c>
      <c r="U54" s="33">
        <f t="shared" ref="U54:U59" si="10">SUM(Q54:T54)</f>
        <v>10</v>
      </c>
      <c r="V54" s="6">
        <v>0</v>
      </c>
      <c r="W54" s="46">
        <v>0</v>
      </c>
      <c r="X54" s="46">
        <v>9</v>
      </c>
      <c r="Y54" s="46">
        <v>0</v>
      </c>
      <c r="Z54" s="43">
        <f t="shared" ref="Z54:Z59" si="11">SUM(V54:Y54)</f>
        <v>9</v>
      </c>
    </row>
    <row r="55" spans="1:26" x14ac:dyDescent="0.25">
      <c r="A55" s="33"/>
      <c r="B55" s="13">
        <v>41296</v>
      </c>
      <c r="C55" s="33" t="s">
        <v>152</v>
      </c>
      <c r="D55" s="33">
        <f>9*60+30</f>
        <v>570</v>
      </c>
      <c r="E55" s="6"/>
      <c r="F55" s="33"/>
      <c r="G55" s="33"/>
      <c r="H55" s="43"/>
      <c r="I55" s="15"/>
      <c r="J55" s="15"/>
      <c r="K55" s="15"/>
      <c r="L55" s="43"/>
      <c r="M55" s="15">
        <v>0</v>
      </c>
      <c r="N55" s="15">
        <v>1</v>
      </c>
      <c r="O55" s="15">
        <v>9</v>
      </c>
      <c r="P55" s="55">
        <v>0</v>
      </c>
      <c r="Q55" s="15">
        <v>0</v>
      </c>
      <c r="R55" s="46">
        <v>0</v>
      </c>
      <c r="S55" s="46">
        <v>10</v>
      </c>
      <c r="T55" s="46">
        <v>0</v>
      </c>
      <c r="U55" s="33">
        <f t="shared" si="10"/>
        <v>10</v>
      </c>
      <c r="V55" s="6">
        <v>0</v>
      </c>
      <c r="W55" s="46">
        <v>1</v>
      </c>
      <c r="X55" s="46">
        <v>9</v>
      </c>
      <c r="Y55" s="46">
        <v>0</v>
      </c>
      <c r="Z55" s="43">
        <f t="shared" si="11"/>
        <v>10</v>
      </c>
    </row>
    <row r="56" spans="1:26" x14ac:dyDescent="0.25">
      <c r="A56" s="33"/>
      <c r="B56" s="13">
        <v>41360</v>
      </c>
      <c r="C56" s="33" t="s">
        <v>185</v>
      </c>
      <c r="D56" s="33">
        <f>5*60</f>
        <v>300</v>
      </c>
      <c r="E56" s="6"/>
      <c r="F56" s="33"/>
      <c r="G56" s="33"/>
      <c r="H56" s="43"/>
      <c r="I56" s="15"/>
      <c r="J56" s="15"/>
      <c r="K56" s="15"/>
      <c r="L56" s="43"/>
      <c r="M56" s="15"/>
      <c r="N56" s="15"/>
      <c r="O56" s="15"/>
      <c r="P56" s="55"/>
      <c r="Q56" s="15">
        <v>0</v>
      </c>
      <c r="R56" s="15">
        <v>3</v>
      </c>
      <c r="S56" s="15">
        <v>16</v>
      </c>
      <c r="T56" s="46">
        <v>0</v>
      </c>
      <c r="U56" s="33">
        <f t="shared" si="10"/>
        <v>19</v>
      </c>
      <c r="V56" s="6">
        <v>0</v>
      </c>
      <c r="W56" s="46">
        <v>3</v>
      </c>
      <c r="X56" s="46">
        <v>16</v>
      </c>
      <c r="Y56" s="46">
        <v>0</v>
      </c>
      <c r="Z56" s="43">
        <f t="shared" si="11"/>
        <v>19</v>
      </c>
    </row>
    <row r="57" spans="1:26" s="33" customFormat="1" x14ac:dyDescent="0.25">
      <c r="B57" s="13">
        <v>41360</v>
      </c>
      <c r="C57" s="33" t="s">
        <v>186</v>
      </c>
      <c r="D57" s="33">
        <f>3*60+30</f>
        <v>210</v>
      </c>
      <c r="E57" s="6"/>
      <c r="H57" s="43"/>
      <c r="I57" s="15"/>
      <c r="J57" s="15"/>
      <c r="K57" s="15"/>
      <c r="L57" s="43"/>
      <c r="M57" s="15"/>
      <c r="N57" s="15"/>
      <c r="O57" s="15"/>
      <c r="P57" s="55"/>
      <c r="Q57" s="15">
        <v>1</v>
      </c>
      <c r="R57" s="46">
        <v>1</v>
      </c>
      <c r="S57" s="46">
        <v>19</v>
      </c>
      <c r="T57" s="46">
        <v>0</v>
      </c>
      <c r="U57" s="33">
        <f t="shared" si="10"/>
        <v>21</v>
      </c>
      <c r="V57" s="6">
        <v>0</v>
      </c>
      <c r="W57" s="46">
        <v>1</v>
      </c>
      <c r="X57" s="46">
        <v>20</v>
      </c>
      <c r="Y57" s="46">
        <v>0</v>
      </c>
      <c r="Z57" s="43">
        <f t="shared" si="11"/>
        <v>21</v>
      </c>
    </row>
    <row r="58" spans="1:26" s="33" customFormat="1" x14ac:dyDescent="0.25">
      <c r="B58" s="13">
        <v>41360</v>
      </c>
      <c r="C58" s="33" t="s">
        <v>188</v>
      </c>
      <c r="D58" s="33">
        <f>4*60+40</f>
        <v>280</v>
      </c>
      <c r="E58" s="6"/>
      <c r="H58" s="43"/>
      <c r="I58" s="15"/>
      <c r="J58" s="15"/>
      <c r="K58" s="15"/>
      <c r="L58" s="43"/>
      <c r="M58" s="15"/>
      <c r="N58" s="15"/>
      <c r="O58" s="15"/>
      <c r="P58" s="55"/>
      <c r="Q58" s="15">
        <v>0</v>
      </c>
      <c r="R58" s="46">
        <v>0</v>
      </c>
      <c r="S58" s="46">
        <v>21</v>
      </c>
      <c r="T58" s="46">
        <v>0</v>
      </c>
      <c r="U58" s="33">
        <f t="shared" si="10"/>
        <v>21</v>
      </c>
      <c r="V58" s="6">
        <v>0</v>
      </c>
      <c r="W58" s="46">
        <v>0</v>
      </c>
      <c r="X58" s="46">
        <v>21</v>
      </c>
      <c r="Y58" s="46">
        <v>0</v>
      </c>
      <c r="Z58" s="43">
        <f t="shared" si="11"/>
        <v>21</v>
      </c>
    </row>
    <row r="59" spans="1:26" s="33" customFormat="1" x14ac:dyDescent="0.25">
      <c r="B59" s="13">
        <v>41360</v>
      </c>
      <c r="C59" s="33" t="s">
        <v>189</v>
      </c>
      <c r="D59" s="33">
        <f>5*60+20</f>
        <v>320</v>
      </c>
      <c r="E59" s="6"/>
      <c r="H59" s="43"/>
      <c r="I59" s="15"/>
      <c r="J59" s="15"/>
      <c r="K59" s="15"/>
      <c r="L59" s="43"/>
      <c r="M59" s="15"/>
      <c r="N59" s="15"/>
      <c r="O59" s="15"/>
      <c r="P59" s="55"/>
      <c r="Q59" s="15">
        <v>0</v>
      </c>
      <c r="R59" s="46">
        <v>1</v>
      </c>
      <c r="S59" s="46">
        <v>17</v>
      </c>
      <c r="T59" s="46">
        <v>0</v>
      </c>
      <c r="U59" s="33">
        <f t="shared" si="10"/>
        <v>18</v>
      </c>
      <c r="V59" s="6">
        <v>0</v>
      </c>
      <c r="W59" s="46">
        <v>0</v>
      </c>
      <c r="X59" s="46">
        <v>18</v>
      </c>
      <c r="Y59" s="46">
        <v>0</v>
      </c>
      <c r="Z59" s="43">
        <f t="shared" si="11"/>
        <v>18</v>
      </c>
    </row>
    <row r="60" spans="1:26" x14ac:dyDescent="0.25">
      <c r="A60" s="33"/>
      <c r="B60" s="33"/>
      <c r="C60" s="16" t="s">
        <v>21</v>
      </c>
      <c r="D60" s="17">
        <f>AVERAGE(D54:D59)</f>
        <v>377.5</v>
      </c>
      <c r="E60" s="16"/>
      <c r="F60" s="18"/>
      <c r="G60" s="18"/>
      <c r="H60" s="36"/>
      <c r="I60" s="56"/>
      <c r="J60" s="18"/>
      <c r="K60" s="18"/>
      <c r="L60" s="36"/>
      <c r="M60" s="56"/>
      <c r="N60" s="18"/>
      <c r="O60" s="18"/>
      <c r="P60" s="36"/>
      <c r="Q60" s="56"/>
      <c r="R60" s="18"/>
      <c r="S60" s="18"/>
      <c r="T60" s="18"/>
      <c r="U60" s="18">
        <f>AVERAGE(U54:U56)</f>
        <v>13</v>
      </c>
      <c r="V60" s="16"/>
      <c r="W60" s="18"/>
      <c r="X60" s="18"/>
      <c r="Y60" s="18"/>
      <c r="Z60" s="36">
        <f>AVERAGE(Z54:Z56)</f>
        <v>12.666666666666666</v>
      </c>
    </row>
    <row r="61" spans="1:26" x14ac:dyDescent="0.25">
      <c r="A61" s="33"/>
      <c r="B61" s="33"/>
      <c r="C61" s="19" t="s">
        <v>12</v>
      </c>
      <c r="D61" s="20"/>
      <c r="E61" s="19"/>
      <c r="F61" s="20"/>
      <c r="G61" s="20"/>
      <c r="H61" s="21"/>
      <c r="I61" s="74"/>
      <c r="J61" s="20"/>
      <c r="K61" s="20"/>
      <c r="L61" s="21"/>
      <c r="M61" s="74"/>
      <c r="N61" s="20"/>
      <c r="O61" s="20"/>
      <c r="P61" s="21"/>
      <c r="Q61" s="74"/>
      <c r="R61" s="20"/>
      <c r="S61" s="20"/>
      <c r="T61" s="20"/>
      <c r="U61" s="20">
        <f>SUM(U54:U56)</f>
        <v>39</v>
      </c>
      <c r="V61" s="19"/>
      <c r="W61" s="20"/>
      <c r="X61" s="20"/>
      <c r="Y61" s="20"/>
      <c r="Z61" s="21">
        <f>SUM(Z54:Z56)</f>
        <v>38</v>
      </c>
    </row>
    <row r="62" spans="1:26" x14ac:dyDescent="0.25">
      <c r="A62" s="23"/>
      <c r="B62" s="23"/>
      <c r="C62" s="11" t="s">
        <v>133</v>
      </c>
      <c r="D62" s="23"/>
      <c r="E62" s="25"/>
      <c r="F62" s="23"/>
      <c r="G62" s="23"/>
      <c r="H62" s="26"/>
      <c r="I62" s="23"/>
      <c r="J62" s="23"/>
      <c r="K62" s="23"/>
      <c r="L62" s="26"/>
      <c r="M62" s="23"/>
      <c r="N62" s="23"/>
      <c r="O62" s="23"/>
      <c r="P62" s="26"/>
      <c r="Q62" s="23"/>
      <c r="R62" s="23"/>
      <c r="S62" s="23"/>
      <c r="T62" s="23"/>
      <c r="U62" s="23"/>
      <c r="V62" s="25"/>
      <c r="W62" s="23"/>
      <c r="X62" s="23"/>
      <c r="Y62" s="23"/>
      <c r="Z62" s="26"/>
    </row>
    <row r="63" spans="1:26" x14ac:dyDescent="0.25">
      <c r="B63" s="13">
        <v>41296</v>
      </c>
      <c r="C63" s="33" t="s">
        <v>137</v>
      </c>
      <c r="D63" s="33">
        <f>10*60+30</f>
        <v>630</v>
      </c>
      <c r="E63" s="6"/>
      <c r="F63" s="33"/>
      <c r="G63" s="33"/>
      <c r="H63" s="43"/>
      <c r="I63" s="15"/>
      <c r="J63" s="15"/>
      <c r="K63" s="15"/>
      <c r="L63" s="43"/>
      <c r="M63" s="15">
        <v>3</v>
      </c>
      <c r="N63" s="15">
        <v>1</v>
      </c>
      <c r="O63" s="15">
        <v>6</v>
      </c>
      <c r="P63" s="55">
        <v>0</v>
      </c>
      <c r="Q63" s="15">
        <v>2</v>
      </c>
      <c r="R63" s="46">
        <v>2</v>
      </c>
      <c r="S63" s="46">
        <v>5</v>
      </c>
      <c r="T63" s="46">
        <v>0</v>
      </c>
      <c r="U63" s="33">
        <f t="shared" ref="U63:U72" si="12">SUM(Q63:T63)</f>
        <v>9</v>
      </c>
      <c r="V63" s="6">
        <v>1</v>
      </c>
      <c r="W63" s="46">
        <v>2</v>
      </c>
      <c r="X63" s="46">
        <v>6</v>
      </c>
      <c r="Y63" s="46">
        <v>1</v>
      </c>
      <c r="Z63" s="43">
        <f t="shared" ref="Z63:Z72" si="13">SUM(V63:Y63)</f>
        <v>10</v>
      </c>
    </row>
    <row r="64" spans="1:26" x14ac:dyDescent="0.25">
      <c r="A64" s="33"/>
      <c r="B64" s="13">
        <v>41296</v>
      </c>
      <c r="C64" s="33" t="s">
        <v>138</v>
      </c>
      <c r="D64" s="33">
        <f>11*60+30</f>
        <v>690</v>
      </c>
      <c r="E64" s="6"/>
      <c r="F64" s="33"/>
      <c r="G64" s="33"/>
      <c r="H64" s="43"/>
      <c r="I64" s="15"/>
      <c r="J64" s="15"/>
      <c r="K64" s="15"/>
      <c r="L64" s="43"/>
      <c r="M64" s="15">
        <v>6</v>
      </c>
      <c r="N64" s="15">
        <v>1</v>
      </c>
      <c r="O64" s="15">
        <v>3</v>
      </c>
      <c r="P64" s="55">
        <v>0</v>
      </c>
      <c r="Q64" s="15">
        <v>4</v>
      </c>
      <c r="R64" s="46">
        <v>2</v>
      </c>
      <c r="S64" s="46">
        <v>4</v>
      </c>
      <c r="T64" s="46">
        <v>0</v>
      </c>
      <c r="U64" s="33">
        <f t="shared" si="12"/>
        <v>10</v>
      </c>
      <c r="V64" s="6">
        <v>3</v>
      </c>
      <c r="W64" s="46">
        <v>3</v>
      </c>
      <c r="X64" s="46">
        <v>4</v>
      </c>
      <c r="Y64" s="46">
        <v>0</v>
      </c>
      <c r="Z64" s="43">
        <f t="shared" si="13"/>
        <v>10</v>
      </c>
    </row>
    <row r="65" spans="1:26" x14ac:dyDescent="0.25">
      <c r="A65" s="33" t="s">
        <v>222</v>
      </c>
      <c r="B65" s="13">
        <v>41339</v>
      </c>
      <c r="C65" s="33" t="s">
        <v>174</v>
      </c>
      <c r="D65" s="33">
        <f>6*60+30</f>
        <v>390</v>
      </c>
      <c r="E65" s="6"/>
      <c r="F65" s="33"/>
      <c r="G65" s="33"/>
      <c r="H65" s="43"/>
      <c r="I65" s="15">
        <v>0</v>
      </c>
      <c r="J65" s="15">
        <v>2</v>
      </c>
      <c r="K65" s="15">
        <v>17</v>
      </c>
      <c r="L65" s="55">
        <v>1</v>
      </c>
      <c r="M65" s="15">
        <v>0</v>
      </c>
      <c r="N65" s="46">
        <v>1</v>
      </c>
      <c r="O65" s="46">
        <v>18</v>
      </c>
      <c r="P65" s="55">
        <v>1</v>
      </c>
      <c r="Q65" s="15">
        <v>0</v>
      </c>
      <c r="R65" s="46">
        <v>0</v>
      </c>
      <c r="S65" s="46">
        <v>20</v>
      </c>
      <c r="T65" s="46">
        <v>1</v>
      </c>
      <c r="U65" s="33">
        <f t="shared" si="12"/>
        <v>21</v>
      </c>
      <c r="V65" s="6">
        <v>0</v>
      </c>
      <c r="W65" s="46">
        <v>0</v>
      </c>
      <c r="X65" s="46">
        <v>20</v>
      </c>
      <c r="Y65" s="46">
        <v>1</v>
      </c>
      <c r="Z65" s="43">
        <f t="shared" si="13"/>
        <v>21</v>
      </c>
    </row>
    <row r="66" spans="1:26" x14ac:dyDescent="0.25">
      <c r="A66" s="33"/>
      <c r="B66" s="13">
        <v>41339</v>
      </c>
      <c r="C66" s="33" t="s">
        <v>175</v>
      </c>
      <c r="D66" s="33">
        <f>8*60+15</f>
        <v>495</v>
      </c>
      <c r="E66" s="6"/>
      <c r="F66" s="33"/>
      <c r="G66" s="33"/>
      <c r="H66" s="43"/>
      <c r="I66" s="15"/>
      <c r="J66" s="15"/>
      <c r="K66" s="15"/>
      <c r="L66" s="43"/>
      <c r="M66" s="15"/>
      <c r="N66" s="15"/>
      <c r="O66" s="15"/>
      <c r="P66" s="43"/>
      <c r="Q66" s="15"/>
      <c r="R66" s="33"/>
      <c r="S66" s="33"/>
      <c r="T66" s="33"/>
      <c r="U66" s="33">
        <f t="shared" si="12"/>
        <v>0</v>
      </c>
      <c r="V66" s="6">
        <v>0</v>
      </c>
      <c r="W66" s="46">
        <v>0</v>
      </c>
      <c r="X66" s="46">
        <v>17</v>
      </c>
      <c r="Y66" s="46">
        <v>0</v>
      </c>
      <c r="Z66" s="43">
        <f t="shared" si="13"/>
        <v>17</v>
      </c>
    </row>
    <row r="67" spans="1:26" x14ac:dyDescent="0.25">
      <c r="A67" s="33"/>
      <c r="B67" s="13">
        <v>41339</v>
      </c>
      <c r="C67" s="33" t="s">
        <v>176</v>
      </c>
      <c r="D67" s="33">
        <f>7*60+30</f>
        <v>450</v>
      </c>
      <c r="E67" s="6"/>
      <c r="F67" s="33"/>
      <c r="G67" s="33"/>
      <c r="H67" s="43"/>
      <c r="I67" s="15"/>
      <c r="J67" s="15"/>
      <c r="K67" s="15"/>
      <c r="L67" s="43"/>
      <c r="M67" s="15"/>
      <c r="N67" s="15"/>
      <c r="O67" s="15"/>
      <c r="P67" s="43"/>
      <c r="Q67" s="15"/>
      <c r="R67" s="33"/>
      <c r="S67" s="33"/>
      <c r="T67" s="33"/>
      <c r="U67" s="33">
        <f t="shared" si="12"/>
        <v>0</v>
      </c>
      <c r="V67" s="6">
        <v>0</v>
      </c>
      <c r="W67" s="46">
        <v>0</v>
      </c>
      <c r="X67" s="46">
        <v>20</v>
      </c>
      <c r="Y67" s="46">
        <v>0</v>
      </c>
      <c r="Z67" s="43">
        <f t="shared" si="13"/>
        <v>20</v>
      </c>
    </row>
    <row r="68" spans="1:26" s="33" customFormat="1" x14ac:dyDescent="0.25">
      <c r="B68" s="31">
        <v>41376</v>
      </c>
      <c r="C68" s="33" t="s">
        <v>190</v>
      </c>
      <c r="D68" s="33">
        <f>6*60+20</f>
        <v>380</v>
      </c>
      <c r="E68" s="6">
        <v>0</v>
      </c>
      <c r="F68" s="33">
        <v>2</v>
      </c>
      <c r="G68" s="46">
        <v>17</v>
      </c>
      <c r="H68" s="55">
        <v>0</v>
      </c>
      <c r="I68" s="15">
        <v>0</v>
      </c>
      <c r="J68" s="46">
        <v>2</v>
      </c>
      <c r="K68" s="46">
        <v>17</v>
      </c>
      <c r="L68" s="55">
        <v>0</v>
      </c>
      <c r="M68" s="15">
        <v>1</v>
      </c>
      <c r="N68" s="46">
        <v>1</v>
      </c>
      <c r="O68" s="46">
        <v>17</v>
      </c>
      <c r="P68" s="55">
        <v>0</v>
      </c>
      <c r="Q68" s="15">
        <v>0</v>
      </c>
      <c r="R68" s="46">
        <v>1</v>
      </c>
      <c r="S68" s="46">
        <v>18</v>
      </c>
      <c r="T68" s="46">
        <v>0</v>
      </c>
      <c r="U68" s="33">
        <f t="shared" si="12"/>
        <v>19</v>
      </c>
      <c r="V68" s="6">
        <v>0</v>
      </c>
      <c r="W68" s="46">
        <v>2</v>
      </c>
      <c r="X68" s="46">
        <v>17</v>
      </c>
      <c r="Y68" s="46">
        <v>0</v>
      </c>
      <c r="Z68" s="43">
        <f t="shared" si="13"/>
        <v>19</v>
      </c>
    </row>
    <row r="69" spans="1:26" s="33" customFormat="1" x14ac:dyDescent="0.25">
      <c r="B69" s="31">
        <v>41376</v>
      </c>
      <c r="C69" s="33" t="s">
        <v>191</v>
      </c>
      <c r="D69" s="33">
        <f>11*60</f>
        <v>660</v>
      </c>
      <c r="H69" s="43"/>
      <c r="I69" s="15">
        <v>0</v>
      </c>
      <c r="J69" s="33">
        <v>1</v>
      </c>
      <c r="K69" s="46">
        <v>17</v>
      </c>
      <c r="L69" s="55">
        <v>0</v>
      </c>
      <c r="M69" s="15">
        <v>0</v>
      </c>
      <c r="N69" s="46">
        <v>2</v>
      </c>
      <c r="O69" s="46">
        <v>17</v>
      </c>
      <c r="P69" s="55">
        <v>0</v>
      </c>
      <c r="Q69" s="15">
        <v>0</v>
      </c>
      <c r="R69" s="46">
        <v>3</v>
      </c>
      <c r="S69" s="46">
        <v>16</v>
      </c>
      <c r="T69" s="46">
        <v>0</v>
      </c>
      <c r="U69" s="33">
        <f t="shared" si="12"/>
        <v>19</v>
      </c>
      <c r="V69" s="6">
        <v>0</v>
      </c>
      <c r="W69" s="46">
        <v>3</v>
      </c>
      <c r="X69" s="46">
        <v>16</v>
      </c>
      <c r="Y69" s="46">
        <v>0</v>
      </c>
      <c r="Z69" s="43">
        <f t="shared" si="13"/>
        <v>19</v>
      </c>
    </row>
    <row r="70" spans="1:26" s="33" customFormat="1" x14ac:dyDescent="0.25">
      <c r="B70" s="31">
        <v>41376</v>
      </c>
      <c r="C70" s="33" t="s">
        <v>192</v>
      </c>
      <c r="D70" s="33">
        <f>7*60+5</f>
        <v>425</v>
      </c>
      <c r="E70" s="6"/>
      <c r="H70" s="43"/>
      <c r="I70" s="15"/>
      <c r="J70" s="15"/>
      <c r="K70" s="15"/>
      <c r="L70" s="43"/>
      <c r="M70" s="15"/>
      <c r="N70" s="15"/>
      <c r="O70" s="15"/>
      <c r="P70" s="43"/>
      <c r="Q70" s="15">
        <v>0</v>
      </c>
      <c r="R70" s="46">
        <v>1</v>
      </c>
      <c r="S70" s="46">
        <v>21</v>
      </c>
      <c r="T70" s="46">
        <v>0</v>
      </c>
      <c r="U70" s="33">
        <f t="shared" si="12"/>
        <v>22</v>
      </c>
      <c r="V70" s="6">
        <v>0</v>
      </c>
      <c r="W70" s="46">
        <v>2</v>
      </c>
      <c r="X70" s="46">
        <v>20</v>
      </c>
      <c r="Y70" s="46">
        <v>0</v>
      </c>
      <c r="Z70" s="43">
        <f t="shared" si="13"/>
        <v>22</v>
      </c>
    </row>
    <row r="71" spans="1:26" s="33" customFormat="1" x14ac:dyDescent="0.25">
      <c r="B71" s="31">
        <v>41376</v>
      </c>
      <c r="C71" s="33" t="s">
        <v>193</v>
      </c>
      <c r="D71" s="33">
        <f>7*60+20</f>
        <v>440</v>
      </c>
      <c r="E71" s="6">
        <v>1</v>
      </c>
      <c r="F71" s="33">
        <v>1</v>
      </c>
      <c r="G71" s="46">
        <v>20</v>
      </c>
      <c r="H71" s="55">
        <v>0</v>
      </c>
      <c r="I71" s="15">
        <v>0</v>
      </c>
      <c r="J71" s="46">
        <v>2</v>
      </c>
      <c r="K71" s="46">
        <v>20</v>
      </c>
      <c r="L71" s="55">
        <v>0</v>
      </c>
      <c r="M71" s="15">
        <v>0</v>
      </c>
      <c r="N71" s="46">
        <v>2</v>
      </c>
      <c r="O71" s="46">
        <v>20</v>
      </c>
      <c r="P71" s="55">
        <v>0</v>
      </c>
      <c r="Q71" s="15">
        <v>0</v>
      </c>
      <c r="R71" s="46">
        <v>2</v>
      </c>
      <c r="S71" s="46">
        <v>20</v>
      </c>
      <c r="T71" s="46">
        <v>0</v>
      </c>
      <c r="U71" s="33">
        <f t="shared" si="12"/>
        <v>22</v>
      </c>
      <c r="V71" s="6">
        <v>0</v>
      </c>
      <c r="W71" s="46">
        <v>3</v>
      </c>
      <c r="X71" s="46">
        <v>19</v>
      </c>
      <c r="Y71" s="46">
        <v>0</v>
      </c>
      <c r="Z71" s="43">
        <f t="shared" si="13"/>
        <v>22</v>
      </c>
    </row>
    <row r="72" spans="1:26" x14ac:dyDescent="0.25">
      <c r="A72" s="33"/>
      <c r="B72" s="13"/>
      <c r="C72" s="6"/>
      <c r="D72" s="43"/>
      <c r="E72" s="32"/>
      <c r="F72" s="33"/>
      <c r="G72" s="33"/>
      <c r="H72" s="43"/>
      <c r="I72" s="27"/>
      <c r="J72" s="15"/>
      <c r="K72" s="15"/>
      <c r="L72" s="43"/>
      <c r="M72" s="27"/>
      <c r="N72" s="15"/>
      <c r="O72" s="15"/>
      <c r="P72" s="43"/>
      <c r="Q72" s="27"/>
      <c r="R72" s="33"/>
      <c r="S72" s="33"/>
      <c r="T72" s="33"/>
      <c r="U72" s="33">
        <f t="shared" si="12"/>
        <v>0</v>
      </c>
      <c r="V72" s="32"/>
      <c r="W72" s="15"/>
      <c r="X72" s="15"/>
      <c r="Y72" s="15"/>
      <c r="Z72" s="43">
        <f t="shared" si="13"/>
        <v>0</v>
      </c>
    </row>
    <row r="73" spans="1:26" x14ac:dyDescent="0.25">
      <c r="A73" s="33"/>
      <c r="B73" s="33"/>
      <c r="C73" s="16" t="s">
        <v>21</v>
      </c>
      <c r="D73" s="36">
        <f>AVERAGE(D63:D72)</f>
        <v>506.66666666666669</v>
      </c>
      <c r="E73" s="17"/>
      <c r="F73" s="17"/>
      <c r="G73" s="17"/>
      <c r="H73" s="36"/>
      <c r="I73" s="17"/>
      <c r="J73" s="17"/>
      <c r="K73" s="17"/>
      <c r="L73" s="36"/>
      <c r="M73" s="17"/>
      <c r="N73" s="17"/>
      <c r="O73" s="17"/>
      <c r="P73" s="36"/>
      <c r="Q73" s="17"/>
      <c r="R73" s="17"/>
      <c r="S73" s="17"/>
      <c r="T73" s="17"/>
      <c r="U73" s="17">
        <f>AVERAGE(U63:U72)</f>
        <v>12.2</v>
      </c>
      <c r="V73" s="17"/>
      <c r="W73" s="17"/>
      <c r="X73" s="17"/>
      <c r="Y73" s="17"/>
      <c r="Z73" s="36">
        <f>AVERAGE(Z63:Z72)</f>
        <v>16</v>
      </c>
    </row>
    <row r="74" spans="1:26" x14ac:dyDescent="0.25">
      <c r="A74" s="33"/>
      <c r="B74" s="33"/>
      <c r="C74" s="22" t="s">
        <v>12</v>
      </c>
      <c r="D74" s="21"/>
      <c r="E74" s="20"/>
      <c r="F74" s="20"/>
      <c r="G74" s="20"/>
      <c r="H74" s="21"/>
      <c r="I74" s="20"/>
      <c r="J74" s="20"/>
      <c r="K74" s="20"/>
      <c r="L74" s="21"/>
      <c r="M74" s="20"/>
      <c r="N74" s="20"/>
      <c r="O74" s="20"/>
      <c r="P74" s="21"/>
      <c r="Q74" s="60"/>
      <c r="R74" s="20"/>
      <c r="S74" s="20"/>
      <c r="T74" s="20"/>
      <c r="U74" s="22">
        <f>SUM(U63:U72)</f>
        <v>122</v>
      </c>
      <c r="V74" s="20"/>
      <c r="W74" s="20"/>
      <c r="X74" s="20"/>
      <c r="Y74" s="22"/>
      <c r="Z74" s="21">
        <f>SUM(Z63:Z72)</f>
        <v>160</v>
      </c>
    </row>
    <row r="75" spans="1:26" x14ac:dyDescent="0.25">
      <c r="A75" s="23"/>
      <c r="B75" s="23"/>
      <c r="C75" s="11" t="s">
        <v>166</v>
      </c>
      <c r="D75" s="23"/>
      <c r="E75" s="25"/>
      <c r="F75" s="23"/>
      <c r="G75" s="23"/>
      <c r="H75" s="26"/>
      <c r="I75" s="23"/>
      <c r="J75" s="23"/>
      <c r="K75" s="23"/>
      <c r="L75" s="26"/>
      <c r="M75" s="23"/>
      <c r="N75" s="23"/>
      <c r="O75" s="23"/>
      <c r="P75" s="26"/>
      <c r="Q75" s="23"/>
      <c r="R75" s="23"/>
      <c r="S75" s="23"/>
      <c r="T75" s="23"/>
      <c r="U75" s="23"/>
      <c r="V75" s="25"/>
      <c r="W75" s="23"/>
      <c r="X75" s="23"/>
      <c r="Y75" s="23"/>
      <c r="Z75" s="26"/>
    </row>
    <row r="76" spans="1:26" x14ac:dyDescent="0.25">
      <c r="A76" s="33"/>
      <c r="B76" s="13">
        <v>41333</v>
      </c>
      <c r="C76" s="33" t="s">
        <v>171</v>
      </c>
      <c r="D76" s="33">
        <f>10*60+30</f>
        <v>630</v>
      </c>
      <c r="E76" s="6">
        <v>0</v>
      </c>
      <c r="F76" s="33">
        <v>0</v>
      </c>
      <c r="G76" s="46">
        <v>17</v>
      </c>
      <c r="H76" s="55">
        <v>0</v>
      </c>
      <c r="I76" s="15">
        <v>0</v>
      </c>
      <c r="J76" s="33">
        <v>0</v>
      </c>
      <c r="K76" s="46">
        <v>17</v>
      </c>
      <c r="L76" s="55">
        <v>0</v>
      </c>
      <c r="M76" s="15">
        <v>0</v>
      </c>
      <c r="N76" s="33">
        <v>0</v>
      </c>
      <c r="O76" s="46">
        <v>17</v>
      </c>
      <c r="P76" s="55">
        <v>0</v>
      </c>
      <c r="Q76" s="15">
        <v>0</v>
      </c>
      <c r="R76" s="33">
        <v>0</v>
      </c>
      <c r="S76" s="46">
        <v>17</v>
      </c>
      <c r="T76" s="46">
        <v>0</v>
      </c>
      <c r="U76" s="33">
        <f t="shared" ref="U76:U81" si="14">SUM(Q76:T76)</f>
        <v>17</v>
      </c>
      <c r="V76" s="6">
        <v>0</v>
      </c>
      <c r="W76" s="33">
        <v>0</v>
      </c>
      <c r="X76" s="46">
        <v>17</v>
      </c>
      <c r="Y76" s="46">
        <v>0</v>
      </c>
      <c r="Z76" s="43">
        <f t="shared" ref="Z76:Z81" si="15">SUM(V76:Y76)</f>
        <v>17</v>
      </c>
    </row>
    <row r="77" spans="1:26" x14ac:dyDescent="0.25">
      <c r="A77" s="33"/>
      <c r="B77" s="13">
        <v>41333</v>
      </c>
      <c r="C77" s="33" t="s">
        <v>172</v>
      </c>
      <c r="D77" s="33">
        <f>9*60+10</f>
        <v>550</v>
      </c>
      <c r="E77" s="6">
        <v>0</v>
      </c>
      <c r="F77" s="33">
        <v>0</v>
      </c>
      <c r="G77" s="46">
        <v>18</v>
      </c>
      <c r="H77" s="55">
        <v>0</v>
      </c>
      <c r="I77" s="15">
        <v>0</v>
      </c>
      <c r="J77" s="33">
        <v>0</v>
      </c>
      <c r="K77" s="46">
        <v>18</v>
      </c>
      <c r="L77" s="55">
        <v>0</v>
      </c>
      <c r="M77" s="15">
        <v>0</v>
      </c>
      <c r="N77" s="33">
        <v>0</v>
      </c>
      <c r="O77" s="46">
        <v>18</v>
      </c>
      <c r="P77" s="55">
        <v>0</v>
      </c>
      <c r="Q77" s="15">
        <v>0</v>
      </c>
      <c r="R77" s="33">
        <v>0</v>
      </c>
      <c r="S77" s="46">
        <v>18</v>
      </c>
      <c r="T77" s="46">
        <v>0</v>
      </c>
      <c r="U77" s="33">
        <f t="shared" si="14"/>
        <v>18</v>
      </c>
      <c r="V77" s="6">
        <v>0</v>
      </c>
      <c r="W77" s="33">
        <v>0</v>
      </c>
      <c r="X77" s="46">
        <v>18</v>
      </c>
      <c r="Y77" s="46">
        <v>0</v>
      </c>
      <c r="Z77" s="43">
        <f t="shared" si="15"/>
        <v>18</v>
      </c>
    </row>
    <row r="78" spans="1:26" x14ac:dyDescent="0.25">
      <c r="A78" s="33"/>
      <c r="B78" s="13">
        <v>41333</v>
      </c>
      <c r="C78" s="33" t="s">
        <v>173</v>
      </c>
      <c r="D78" s="33">
        <f>13*60</f>
        <v>780</v>
      </c>
      <c r="E78" s="6">
        <v>0</v>
      </c>
      <c r="F78" s="33">
        <v>0</v>
      </c>
      <c r="G78" s="46">
        <v>19</v>
      </c>
      <c r="H78" s="55">
        <v>0</v>
      </c>
      <c r="I78" s="15">
        <v>0</v>
      </c>
      <c r="J78" s="33">
        <v>0</v>
      </c>
      <c r="K78" s="46">
        <v>19</v>
      </c>
      <c r="L78" s="55">
        <v>0</v>
      </c>
      <c r="M78" s="15">
        <v>0</v>
      </c>
      <c r="N78" s="33">
        <v>0</v>
      </c>
      <c r="O78" s="46">
        <v>19</v>
      </c>
      <c r="P78" s="55">
        <v>0</v>
      </c>
      <c r="Q78" s="15">
        <v>0</v>
      </c>
      <c r="R78" s="33">
        <v>0</v>
      </c>
      <c r="S78" s="46">
        <v>19</v>
      </c>
      <c r="T78" s="46">
        <v>0</v>
      </c>
      <c r="U78" s="33">
        <f t="shared" si="14"/>
        <v>19</v>
      </c>
      <c r="V78" s="6">
        <v>0</v>
      </c>
      <c r="W78" s="33">
        <v>0</v>
      </c>
      <c r="X78" s="46">
        <v>19</v>
      </c>
      <c r="Y78" s="46">
        <v>0</v>
      </c>
      <c r="Z78" s="43">
        <f t="shared" si="15"/>
        <v>19</v>
      </c>
    </row>
    <row r="79" spans="1:26" x14ac:dyDescent="0.25">
      <c r="A79" s="33"/>
      <c r="B79" s="13"/>
      <c r="C79" s="6"/>
      <c r="D79" s="33"/>
      <c r="E79" s="6"/>
      <c r="F79" s="33"/>
      <c r="G79" s="33"/>
      <c r="H79" s="43"/>
      <c r="I79" s="15"/>
      <c r="J79" s="15"/>
      <c r="K79" s="15"/>
      <c r="L79" s="43"/>
      <c r="M79" s="15"/>
      <c r="N79" s="15"/>
      <c r="O79" s="15"/>
      <c r="P79" s="43"/>
      <c r="Q79" s="15"/>
      <c r="R79" s="33"/>
      <c r="S79" s="33"/>
      <c r="T79" s="33"/>
      <c r="U79" s="33">
        <f t="shared" si="14"/>
        <v>0</v>
      </c>
      <c r="V79" s="6"/>
      <c r="W79" s="15"/>
      <c r="X79" s="15"/>
      <c r="Y79" s="15"/>
      <c r="Z79" s="43">
        <f t="shared" si="15"/>
        <v>0</v>
      </c>
    </row>
    <row r="80" spans="1:26" x14ac:dyDescent="0.25">
      <c r="A80" s="33"/>
      <c r="B80" s="13"/>
      <c r="C80" s="6"/>
      <c r="D80" s="33"/>
      <c r="E80" s="6"/>
      <c r="F80" s="33"/>
      <c r="G80" s="33"/>
      <c r="H80" s="43"/>
      <c r="I80" s="15"/>
      <c r="J80" s="15"/>
      <c r="K80" s="15"/>
      <c r="L80" s="43"/>
      <c r="M80" s="15"/>
      <c r="N80" s="15"/>
      <c r="O80" s="15"/>
      <c r="P80" s="43"/>
      <c r="Q80" s="15"/>
      <c r="R80" s="33"/>
      <c r="S80" s="33"/>
      <c r="T80" s="33"/>
      <c r="U80" s="33">
        <f t="shared" si="14"/>
        <v>0</v>
      </c>
      <c r="V80" s="6"/>
      <c r="W80" s="15"/>
      <c r="X80" s="15"/>
      <c r="Y80" s="15"/>
      <c r="Z80" s="43">
        <f t="shared" si="15"/>
        <v>0</v>
      </c>
    </row>
    <row r="81" spans="1:26" x14ac:dyDescent="0.25">
      <c r="A81" s="33"/>
      <c r="B81" s="13"/>
      <c r="C81" s="6"/>
      <c r="D81" s="43"/>
      <c r="E81" s="32"/>
      <c r="F81" s="33"/>
      <c r="G81" s="33"/>
      <c r="H81" s="43"/>
      <c r="I81" s="27"/>
      <c r="J81" s="15"/>
      <c r="K81" s="15"/>
      <c r="L81" s="43"/>
      <c r="M81" s="27"/>
      <c r="N81" s="15"/>
      <c r="O81" s="15"/>
      <c r="P81" s="43"/>
      <c r="Q81" s="27"/>
      <c r="R81" s="33"/>
      <c r="S81" s="33"/>
      <c r="T81" s="33"/>
      <c r="U81" s="33">
        <f t="shared" si="14"/>
        <v>0</v>
      </c>
      <c r="V81" s="32"/>
      <c r="W81" s="15"/>
      <c r="X81" s="15"/>
      <c r="Y81" s="15"/>
      <c r="Z81" s="43">
        <f t="shared" si="15"/>
        <v>0</v>
      </c>
    </row>
    <row r="82" spans="1:26" x14ac:dyDescent="0.25">
      <c r="A82" s="33"/>
      <c r="B82" s="33"/>
      <c r="C82" s="16" t="s">
        <v>21</v>
      </c>
      <c r="D82" s="36">
        <f>AVERAGE(D76:D81)</f>
        <v>653.33333333333337</v>
      </c>
      <c r="E82" s="17"/>
      <c r="F82" s="17"/>
      <c r="G82" s="17"/>
      <c r="H82" s="36"/>
      <c r="I82" s="17"/>
      <c r="J82" s="17"/>
      <c r="K82" s="17"/>
      <c r="L82" s="36"/>
      <c r="M82" s="17"/>
      <c r="N82" s="17"/>
      <c r="O82" s="17"/>
      <c r="P82" s="36"/>
      <c r="Q82" s="17"/>
      <c r="R82" s="17"/>
      <c r="S82" s="17"/>
      <c r="T82" s="17"/>
      <c r="U82" s="17">
        <f>AVERAGE(U76:U81)</f>
        <v>9</v>
      </c>
      <c r="V82" s="17"/>
      <c r="W82" s="17"/>
      <c r="X82" s="17"/>
      <c r="Y82" s="17"/>
      <c r="Z82" s="36">
        <f>AVERAGE(Z76:Z81)</f>
        <v>9</v>
      </c>
    </row>
    <row r="83" spans="1:26" x14ac:dyDescent="0.25">
      <c r="A83" s="33"/>
      <c r="B83" s="33"/>
      <c r="C83" s="22" t="s">
        <v>12</v>
      </c>
      <c r="D83" s="21"/>
      <c r="E83" s="20"/>
      <c r="F83" s="20"/>
      <c r="G83" s="20"/>
      <c r="H83" s="21"/>
      <c r="I83" s="20"/>
      <c r="J83" s="20"/>
      <c r="K83" s="20"/>
      <c r="L83" s="21"/>
      <c r="M83" s="20"/>
      <c r="N83" s="20"/>
      <c r="O83" s="20"/>
      <c r="P83" s="21"/>
      <c r="Q83" s="60"/>
      <c r="R83" s="20"/>
      <c r="S83" s="20"/>
      <c r="T83" s="20"/>
      <c r="U83" s="22">
        <f>SUM(U76:U81)</f>
        <v>54</v>
      </c>
      <c r="V83" s="20"/>
      <c r="W83" s="20"/>
      <c r="X83" s="20"/>
      <c r="Y83" s="22"/>
      <c r="Z83" s="21">
        <f>SUM(Z76:Z81)</f>
        <v>54</v>
      </c>
    </row>
    <row r="84" spans="1:26" x14ac:dyDescent="0.25">
      <c r="A84" s="23"/>
      <c r="B84" s="23"/>
      <c r="C84" s="11" t="s">
        <v>143</v>
      </c>
      <c r="D84" s="23"/>
      <c r="E84" s="25"/>
      <c r="F84" s="23"/>
      <c r="G84" s="23"/>
      <c r="H84" s="26"/>
      <c r="I84" s="23"/>
      <c r="J84" s="23"/>
      <c r="K84" s="23"/>
      <c r="L84" s="26"/>
      <c r="M84" s="23"/>
      <c r="N84" s="23"/>
      <c r="O84" s="23"/>
      <c r="P84" s="26"/>
      <c r="Q84" s="23"/>
      <c r="R84" s="23"/>
      <c r="S84" s="23"/>
      <c r="T84" s="23"/>
      <c r="U84" s="23"/>
      <c r="V84" s="25"/>
      <c r="W84" s="23"/>
      <c r="X84" s="23"/>
      <c r="Y84" s="23"/>
      <c r="Z84" s="26"/>
    </row>
    <row r="85" spans="1:26" x14ac:dyDescent="0.25">
      <c r="A85" s="27"/>
      <c r="B85" s="31">
        <v>41304</v>
      </c>
      <c r="C85" s="33" t="s">
        <v>144</v>
      </c>
      <c r="D85" s="33">
        <f>49*60+30</f>
        <v>2970</v>
      </c>
      <c r="E85" s="6"/>
      <c r="F85" s="33"/>
      <c r="G85" s="33"/>
      <c r="H85" s="43"/>
      <c r="I85" s="15">
        <v>7</v>
      </c>
      <c r="J85" s="15">
        <v>1</v>
      </c>
      <c r="K85" s="15">
        <v>2</v>
      </c>
      <c r="L85" s="55">
        <v>0</v>
      </c>
      <c r="M85" s="15">
        <v>10</v>
      </c>
      <c r="N85" s="46">
        <v>0</v>
      </c>
      <c r="O85" s="46">
        <v>0</v>
      </c>
      <c r="P85" s="55">
        <v>0</v>
      </c>
      <c r="Q85" s="15">
        <v>9</v>
      </c>
      <c r="R85" s="46">
        <v>1</v>
      </c>
      <c r="S85" s="46">
        <v>0</v>
      </c>
      <c r="T85" s="46">
        <v>0</v>
      </c>
      <c r="U85" s="33">
        <f t="shared" ref="U85:U90" si="16">SUM(Q85:T85)</f>
        <v>10</v>
      </c>
      <c r="V85" s="6">
        <v>7</v>
      </c>
      <c r="W85" s="46">
        <v>0</v>
      </c>
      <c r="X85" s="46">
        <v>0</v>
      </c>
      <c r="Y85" s="46">
        <v>0</v>
      </c>
      <c r="Z85" s="43">
        <f t="shared" ref="Z85:Z90" si="17">SUM(V85:Y85)</f>
        <v>7</v>
      </c>
    </row>
    <row r="86" spans="1:26" x14ac:dyDescent="0.25">
      <c r="A86" s="27" t="s">
        <v>223</v>
      </c>
      <c r="B86" s="31">
        <v>41304</v>
      </c>
      <c r="C86" s="33" t="s">
        <v>145</v>
      </c>
      <c r="D86" s="33">
        <f>47*60+30</f>
        <v>2850</v>
      </c>
      <c r="E86" s="6">
        <v>1</v>
      </c>
      <c r="F86" s="33">
        <v>1</v>
      </c>
      <c r="G86" s="46">
        <v>7</v>
      </c>
      <c r="H86" s="55">
        <v>0</v>
      </c>
      <c r="I86" s="15">
        <v>7</v>
      </c>
      <c r="J86" s="46">
        <v>2</v>
      </c>
      <c r="K86" s="46">
        <v>1</v>
      </c>
      <c r="L86" s="55">
        <v>0</v>
      </c>
      <c r="M86" s="15">
        <v>9</v>
      </c>
      <c r="N86" s="46">
        <v>0</v>
      </c>
      <c r="O86" s="46">
        <v>1</v>
      </c>
      <c r="P86" s="55">
        <v>0</v>
      </c>
      <c r="Q86" s="15">
        <v>8</v>
      </c>
      <c r="R86" s="46">
        <v>0</v>
      </c>
      <c r="S86" s="46">
        <v>1</v>
      </c>
      <c r="T86" s="46">
        <v>0</v>
      </c>
      <c r="U86" s="33">
        <f t="shared" si="16"/>
        <v>9</v>
      </c>
      <c r="V86" s="6">
        <v>5</v>
      </c>
      <c r="W86" s="46">
        <v>2</v>
      </c>
      <c r="X86" s="46">
        <v>2</v>
      </c>
      <c r="Y86" s="46">
        <v>0</v>
      </c>
      <c r="Z86" s="43">
        <f t="shared" si="17"/>
        <v>9</v>
      </c>
    </row>
    <row r="87" spans="1:26" x14ac:dyDescent="0.25">
      <c r="A87" s="27"/>
      <c r="B87" s="31">
        <v>41304</v>
      </c>
      <c r="C87" s="33" t="s">
        <v>146</v>
      </c>
      <c r="D87" s="33">
        <f>45*60+15</f>
        <v>2715</v>
      </c>
      <c r="E87" s="32">
        <v>5</v>
      </c>
      <c r="F87" s="33">
        <v>1</v>
      </c>
      <c r="G87" s="46">
        <v>7</v>
      </c>
      <c r="H87" s="55">
        <v>0</v>
      </c>
      <c r="I87" s="27">
        <v>3</v>
      </c>
      <c r="J87" s="45">
        <v>3</v>
      </c>
      <c r="K87" s="45">
        <v>2</v>
      </c>
      <c r="L87" s="52">
        <v>0</v>
      </c>
      <c r="M87" s="27">
        <v>5</v>
      </c>
      <c r="N87" s="45">
        <v>2</v>
      </c>
      <c r="O87" s="45">
        <v>0</v>
      </c>
      <c r="P87" s="52">
        <v>0</v>
      </c>
      <c r="Q87" s="27">
        <v>7</v>
      </c>
      <c r="R87" s="45">
        <v>0</v>
      </c>
      <c r="S87" s="45">
        <v>1</v>
      </c>
      <c r="T87" s="45">
        <v>0</v>
      </c>
      <c r="U87" s="33">
        <f t="shared" si="16"/>
        <v>8</v>
      </c>
      <c r="V87" s="32">
        <v>6</v>
      </c>
      <c r="W87" s="45">
        <v>0</v>
      </c>
      <c r="X87" s="45">
        <v>2</v>
      </c>
      <c r="Y87" s="45">
        <v>0</v>
      </c>
      <c r="Z87" s="43">
        <f t="shared" si="17"/>
        <v>8</v>
      </c>
    </row>
    <row r="88" spans="1:26" x14ac:dyDescent="0.25">
      <c r="A88" s="27" t="s">
        <v>224</v>
      </c>
      <c r="B88" s="31">
        <v>41304</v>
      </c>
      <c r="C88" s="33" t="s">
        <v>147</v>
      </c>
      <c r="D88" s="33">
        <f>48*60+30</f>
        <v>2910</v>
      </c>
      <c r="E88" s="32">
        <v>3</v>
      </c>
      <c r="F88" s="33">
        <v>1</v>
      </c>
      <c r="G88" s="46">
        <v>7</v>
      </c>
      <c r="H88" s="55">
        <v>0</v>
      </c>
      <c r="I88" s="27">
        <v>10</v>
      </c>
      <c r="J88" s="45">
        <v>0</v>
      </c>
      <c r="K88" s="45">
        <v>1</v>
      </c>
      <c r="L88" s="52">
        <v>0</v>
      </c>
      <c r="M88" s="27">
        <v>10</v>
      </c>
      <c r="N88" s="45">
        <v>0</v>
      </c>
      <c r="O88" s="45">
        <v>2</v>
      </c>
      <c r="P88" s="52">
        <v>0</v>
      </c>
      <c r="Q88" s="27">
        <v>9</v>
      </c>
      <c r="R88" s="45">
        <v>0</v>
      </c>
      <c r="S88" s="45">
        <v>2</v>
      </c>
      <c r="T88" s="45">
        <v>0</v>
      </c>
      <c r="U88" s="33">
        <f t="shared" si="16"/>
        <v>11</v>
      </c>
      <c r="V88" s="32">
        <v>9</v>
      </c>
      <c r="W88" s="45">
        <v>0</v>
      </c>
      <c r="X88" s="45">
        <v>3</v>
      </c>
      <c r="Y88" s="45">
        <v>0</v>
      </c>
      <c r="Z88" s="43">
        <f t="shared" si="17"/>
        <v>12</v>
      </c>
    </row>
    <row r="89" spans="1:26" x14ac:dyDescent="0.25">
      <c r="A89" s="27"/>
      <c r="B89" s="31">
        <v>41317</v>
      </c>
      <c r="C89" s="33" t="s">
        <v>148</v>
      </c>
      <c r="D89" s="33">
        <f>31*60</f>
        <v>1860</v>
      </c>
      <c r="E89" s="6"/>
      <c r="F89" s="33"/>
      <c r="G89" s="33"/>
      <c r="H89" s="43"/>
      <c r="I89" s="15">
        <v>11</v>
      </c>
      <c r="J89" s="45">
        <v>3</v>
      </c>
      <c r="K89" s="45">
        <v>1</v>
      </c>
      <c r="L89" s="52">
        <v>0</v>
      </c>
      <c r="M89" s="15">
        <v>14</v>
      </c>
      <c r="N89" s="45">
        <v>1</v>
      </c>
      <c r="O89" s="45">
        <v>1</v>
      </c>
      <c r="P89" s="52">
        <v>0</v>
      </c>
      <c r="Q89" s="15">
        <v>12</v>
      </c>
      <c r="R89" s="45">
        <v>3</v>
      </c>
      <c r="S89" s="45">
        <v>1</v>
      </c>
      <c r="T89" s="45">
        <v>0</v>
      </c>
      <c r="U89" s="33">
        <f t="shared" si="16"/>
        <v>16</v>
      </c>
      <c r="V89" s="6">
        <v>6</v>
      </c>
      <c r="W89" s="45">
        <v>4</v>
      </c>
      <c r="X89" s="45">
        <v>6</v>
      </c>
      <c r="Y89" s="45">
        <v>0</v>
      </c>
      <c r="Z89" s="43">
        <f t="shared" si="17"/>
        <v>16</v>
      </c>
    </row>
    <row r="90" spans="1:26" x14ac:dyDescent="0.25">
      <c r="A90" s="27" t="s">
        <v>219</v>
      </c>
      <c r="B90" s="31">
        <v>41353</v>
      </c>
      <c r="C90" s="33" t="s">
        <v>184</v>
      </c>
      <c r="D90" s="33"/>
      <c r="E90" s="6"/>
      <c r="F90" s="33"/>
      <c r="G90" s="33"/>
      <c r="H90" s="43"/>
      <c r="I90" s="15">
        <v>11</v>
      </c>
      <c r="J90" s="45">
        <v>5</v>
      </c>
      <c r="K90" s="45">
        <v>5</v>
      </c>
      <c r="L90" s="52">
        <v>0</v>
      </c>
      <c r="M90" s="15">
        <v>11</v>
      </c>
      <c r="N90" s="45">
        <v>5</v>
      </c>
      <c r="O90" s="45">
        <v>5</v>
      </c>
      <c r="P90" s="52">
        <v>0</v>
      </c>
      <c r="Q90" s="15">
        <v>15</v>
      </c>
      <c r="R90" s="45">
        <v>1</v>
      </c>
      <c r="S90" s="45">
        <v>5</v>
      </c>
      <c r="T90" s="45">
        <v>0</v>
      </c>
      <c r="U90" s="43">
        <f t="shared" si="16"/>
        <v>21</v>
      </c>
      <c r="V90" s="6">
        <v>14</v>
      </c>
      <c r="W90" s="45">
        <v>2</v>
      </c>
      <c r="X90" s="45">
        <v>5</v>
      </c>
      <c r="Y90" s="45">
        <v>0</v>
      </c>
      <c r="Z90" s="43">
        <f t="shared" si="17"/>
        <v>21</v>
      </c>
    </row>
    <row r="91" spans="1:26" x14ac:dyDescent="0.25">
      <c r="A91" s="27"/>
      <c r="B91" s="27"/>
      <c r="C91" s="16" t="s">
        <v>21</v>
      </c>
      <c r="D91" s="17">
        <f>AVERAGE(D86:D90)</f>
        <v>2583.75</v>
      </c>
      <c r="E91" s="16"/>
      <c r="F91" s="18"/>
      <c r="G91" s="18"/>
      <c r="H91" s="36"/>
      <c r="I91" s="56"/>
      <c r="J91" s="18"/>
      <c r="K91" s="18"/>
      <c r="L91" s="36"/>
      <c r="M91" s="56"/>
      <c r="N91" s="18"/>
      <c r="O91" s="18"/>
      <c r="P91" s="36"/>
      <c r="Q91" s="56"/>
      <c r="R91" s="18"/>
      <c r="S91" s="18"/>
      <c r="T91" s="18"/>
      <c r="U91" s="18">
        <f>AVERAGE(U85:U90)</f>
        <v>12.5</v>
      </c>
      <c r="V91" s="16"/>
      <c r="W91" s="18"/>
      <c r="X91" s="18"/>
      <c r="Y91" s="18"/>
      <c r="Z91" s="36">
        <f>AVERAGE(Z85:Z90)</f>
        <v>12.166666666666666</v>
      </c>
    </row>
    <row r="92" spans="1:26" x14ac:dyDescent="0.25">
      <c r="A92" s="27"/>
      <c r="B92" s="27"/>
      <c r="C92" s="19" t="s">
        <v>12</v>
      </c>
      <c r="D92" s="20"/>
      <c r="E92" s="19"/>
      <c r="F92" s="20"/>
      <c r="G92" s="20"/>
      <c r="H92" s="21"/>
      <c r="I92" s="74"/>
      <c r="J92" s="20"/>
      <c r="K92" s="20"/>
      <c r="L92" s="21"/>
      <c r="M92" s="74"/>
      <c r="N92" s="20"/>
      <c r="O92" s="20"/>
      <c r="P92" s="21"/>
      <c r="Q92" s="74"/>
      <c r="R92" s="20"/>
      <c r="S92" s="20"/>
      <c r="T92" s="20"/>
      <c r="U92" s="22">
        <f>SUM(U85:U90)</f>
        <v>75</v>
      </c>
      <c r="V92" s="19"/>
      <c r="W92" s="20"/>
      <c r="X92" s="20"/>
      <c r="Y92" s="20"/>
      <c r="Z92" s="21">
        <f>SUM(Z85:Z90)</f>
        <v>73</v>
      </c>
    </row>
    <row r="93" spans="1:26" x14ac:dyDescent="0.25">
      <c r="A93" s="23"/>
      <c r="B93" s="23"/>
      <c r="C93" s="11" t="s">
        <v>121</v>
      </c>
      <c r="E93" s="25"/>
      <c r="F93" s="23"/>
      <c r="G93" s="23"/>
      <c r="H93" s="26"/>
      <c r="I93" s="23"/>
      <c r="J93" s="23"/>
      <c r="K93" s="23"/>
      <c r="L93" s="26"/>
      <c r="M93" s="23"/>
      <c r="N93" s="23"/>
      <c r="O93" s="23"/>
      <c r="P93" s="26"/>
      <c r="Q93" s="23"/>
      <c r="R93" s="23"/>
      <c r="S93" s="23"/>
      <c r="T93" s="23"/>
      <c r="U93" s="26"/>
      <c r="V93" s="25"/>
      <c r="W93" s="23"/>
      <c r="X93" s="23"/>
      <c r="Y93" s="23"/>
      <c r="Z93" s="26"/>
    </row>
    <row r="94" spans="1:26" x14ac:dyDescent="0.25">
      <c r="A94" s="33"/>
      <c r="B94" s="13">
        <v>41289</v>
      </c>
      <c r="C94" s="33" t="s">
        <v>122</v>
      </c>
      <c r="D94" s="23">
        <f>(15+37)*60</f>
        <v>3120</v>
      </c>
      <c r="E94" s="6">
        <v>0</v>
      </c>
      <c r="F94" s="33">
        <v>0</v>
      </c>
      <c r="G94" s="33">
        <v>10</v>
      </c>
      <c r="H94" s="55">
        <v>0</v>
      </c>
      <c r="I94" s="15">
        <v>0</v>
      </c>
      <c r="J94" s="46">
        <v>2</v>
      </c>
      <c r="K94" s="46">
        <v>8</v>
      </c>
      <c r="L94" s="55">
        <v>0</v>
      </c>
      <c r="M94" s="15">
        <v>0</v>
      </c>
      <c r="N94" s="46">
        <v>4</v>
      </c>
      <c r="O94" s="46">
        <v>6</v>
      </c>
      <c r="P94" s="55">
        <v>0</v>
      </c>
      <c r="Q94" s="15">
        <v>0</v>
      </c>
      <c r="R94" s="46">
        <v>3</v>
      </c>
      <c r="S94" s="46">
        <v>6</v>
      </c>
      <c r="T94" s="46">
        <v>1</v>
      </c>
      <c r="U94" s="33">
        <f t="shared" ref="U94:U99" si="18">SUM(Q94:T94)</f>
        <v>10</v>
      </c>
      <c r="V94" s="6">
        <v>3</v>
      </c>
      <c r="W94" s="46">
        <v>1</v>
      </c>
      <c r="X94" s="46">
        <v>5</v>
      </c>
      <c r="Y94" s="46">
        <v>0</v>
      </c>
      <c r="Z94" s="43">
        <f t="shared" ref="Z94:Z99" si="19">SUM(V94:Y94)</f>
        <v>9</v>
      </c>
    </row>
    <row r="95" spans="1:26" x14ac:dyDescent="0.25">
      <c r="A95" s="33"/>
      <c r="B95" s="13">
        <v>41289</v>
      </c>
      <c r="C95" s="33" t="s">
        <v>123</v>
      </c>
      <c r="D95" s="33">
        <f>36*60</f>
        <v>2160</v>
      </c>
      <c r="E95" s="6">
        <v>0</v>
      </c>
      <c r="F95" s="33">
        <v>0</v>
      </c>
      <c r="G95" s="33">
        <v>8</v>
      </c>
      <c r="H95" s="55">
        <v>0</v>
      </c>
      <c r="I95" s="15">
        <v>0</v>
      </c>
      <c r="J95" s="46">
        <v>3</v>
      </c>
      <c r="K95" s="46">
        <v>5</v>
      </c>
      <c r="L95" s="55">
        <v>0</v>
      </c>
      <c r="M95" s="15">
        <v>2</v>
      </c>
      <c r="N95" s="46">
        <v>2</v>
      </c>
      <c r="O95" s="46">
        <v>2</v>
      </c>
      <c r="P95" s="55">
        <v>2</v>
      </c>
      <c r="Q95" s="15">
        <v>2</v>
      </c>
      <c r="R95" s="46">
        <v>2</v>
      </c>
      <c r="S95" s="46">
        <v>2</v>
      </c>
      <c r="T95" s="46">
        <v>2</v>
      </c>
      <c r="U95" s="33">
        <f t="shared" si="18"/>
        <v>8</v>
      </c>
      <c r="V95" s="6">
        <v>4</v>
      </c>
      <c r="W95" s="46">
        <v>1</v>
      </c>
      <c r="X95" s="46">
        <v>3</v>
      </c>
      <c r="Y95" s="46">
        <v>0</v>
      </c>
      <c r="Z95" s="43">
        <f t="shared" si="19"/>
        <v>8</v>
      </c>
    </row>
    <row r="96" spans="1:26" x14ac:dyDescent="0.25">
      <c r="A96" s="33"/>
      <c r="B96" s="13">
        <v>41289</v>
      </c>
      <c r="C96" s="33" t="s">
        <v>124</v>
      </c>
      <c r="D96" s="33">
        <f>30*60</f>
        <v>1800</v>
      </c>
      <c r="E96" s="6">
        <v>0</v>
      </c>
      <c r="F96" s="33">
        <v>0</v>
      </c>
      <c r="G96" s="33">
        <v>9</v>
      </c>
      <c r="H96" s="55">
        <v>0</v>
      </c>
      <c r="I96" s="15">
        <v>0</v>
      </c>
      <c r="J96" s="46">
        <v>4</v>
      </c>
      <c r="K96" s="46">
        <v>5</v>
      </c>
      <c r="L96" s="55">
        <v>0</v>
      </c>
      <c r="M96" s="15">
        <v>0</v>
      </c>
      <c r="N96" s="46">
        <v>3</v>
      </c>
      <c r="O96" s="46">
        <v>5</v>
      </c>
      <c r="P96" s="55">
        <v>1</v>
      </c>
      <c r="Q96" s="15">
        <v>0</v>
      </c>
      <c r="R96" s="46">
        <v>3</v>
      </c>
      <c r="S96" s="46">
        <v>6</v>
      </c>
      <c r="T96" s="46">
        <v>0</v>
      </c>
      <c r="U96" s="33">
        <f t="shared" si="18"/>
        <v>9</v>
      </c>
      <c r="V96" s="6">
        <v>3</v>
      </c>
      <c r="W96" s="46">
        <v>2</v>
      </c>
      <c r="X96" s="46">
        <v>4</v>
      </c>
      <c r="Y96" s="46">
        <v>0</v>
      </c>
      <c r="Z96" s="43">
        <f t="shared" si="19"/>
        <v>9</v>
      </c>
    </row>
    <row r="97" spans="1:26" x14ac:dyDescent="0.25">
      <c r="A97" s="33"/>
      <c r="B97" s="13">
        <v>41296</v>
      </c>
      <c r="C97" s="33" t="s">
        <v>149</v>
      </c>
      <c r="D97" s="33">
        <f>31*60</f>
        <v>1860</v>
      </c>
      <c r="E97" s="6"/>
      <c r="F97" s="33"/>
      <c r="G97" s="33"/>
      <c r="H97" s="43"/>
      <c r="I97" s="15"/>
      <c r="J97" s="15"/>
      <c r="K97" s="15"/>
      <c r="L97" s="43"/>
      <c r="M97" s="15">
        <v>2</v>
      </c>
      <c r="N97" s="46">
        <v>4</v>
      </c>
      <c r="O97" s="46">
        <v>4</v>
      </c>
      <c r="P97" s="55">
        <v>0</v>
      </c>
      <c r="Q97" s="15">
        <v>1</v>
      </c>
      <c r="R97" s="46">
        <v>2</v>
      </c>
      <c r="S97" s="46">
        <v>6</v>
      </c>
      <c r="T97" s="46">
        <v>0</v>
      </c>
      <c r="U97" s="33">
        <f t="shared" si="18"/>
        <v>9</v>
      </c>
      <c r="V97" s="6">
        <v>3</v>
      </c>
      <c r="W97" s="46">
        <v>2</v>
      </c>
      <c r="X97" s="46">
        <v>3</v>
      </c>
      <c r="Y97" s="46">
        <v>0</v>
      </c>
      <c r="Z97" s="43">
        <f t="shared" si="19"/>
        <v>8</v>
      </c>
    </row>
    <row r="98" spans="1:26" x14ac:dyDescent="0.25">
      <c r="A98" s="33"/>
      <c r="B98" s="13">
        <v>41296</v>
      </c>
      <c r="C98" s="33" t="s">
        <v>150</v>
      </c>
      <c r="D98" s="33">
        <f>38*60+15</f>
        <v>2295</v>
      </c>
      <c r="E98" s="6"/>
      <c r="F98" s="33"/>
      <c r="G98" s="33"/>
      <c r="H98" s="43"/>
      <c r="I98" s="15"/>
      <c r="J98" s="15"/>
      <c r="K98" s="15"/>
      <c r="L98" s="43"/>
      <c r="M98" s="15">
        <v>1</v>
      </c>
      <c r="N98" s="46">
        <v>0</v>
      </c>
      <c r="O98" s="46">
        <v>8</v>
      </c>
      <c r="P98" s="55">
        <v>0</v>
      </c>
      <c r="Q98" s="15">
        <v>1</v>
      </c>
      <c r="R98" s="46">
        <v>1</v>
      </c>
      <c r="S98" s="46">
        <v>5</v>
      </c>
      <c r="T98" s="46">
        <v>0</v>
      </c>
      <c r="U98" s="33">
        <f t="shared" si="18"/>
        <v>7</v>
      </c>
      <c r="V98" s="6">
        <v>0</v>
      </c>
      <c r="W98" s="46">
        <v>1</v>
      </c>
      <c r="X98" s="46">
        <v>8</v>
      </c>
      <c r="Y98" s="46">
        <v>0</v>
      </c>
      <c r="Z98" s="43">
        <f t="shared" si="19"/>
        <v>9</v>
      </c>
    </row>
    <row r="99" spans="1:26" x14ac:dyDescent="0.25">
      <c r="A99" s="33"/>
      <c r="B99" s="13">
        <v>42821</v>
      </c>
      <c r="C99" s="33" t="s">
        <v>187</v>
      </c>
      <c r="D99" s="33">
        <f>18*60+40</f>
        <v>1120</v>
      </c>
      <c r="E99" s="6"/>
      <c r="F99" s="33"/>
      <c r="G99" s="33"/>
      <c r="H99" s="43"/>
      <c r="I99" s="15"/>
      <c r="J99" s="15"/>
      <c r="K99" s="15"/>
      <c r="L99" s="43"/>
      <c r="M99" s="15"/>
      <c r="N99" s="15"/>
      <c r="O99" s="15"/>
      <c r="P99" s="55"/>
      <c r="Q99" s="15">
        <v>0</v>
      </c>
      <c r="R99" s="46">
        <v>0</v>
      </c>
      <c r="S99" s="46">
        <v>19</v>
      </c>
      <c r="T99" s="46">
        <v>0</v>
      </c>
      <c r="U99" s="33">
        <f t="shared" si="18"/>
        <v>19</v>
      </c>
      <c r="V99" s="6">
        <v>0</v>
      </c>
      <c r="W99" s="46">
        <v>0</v>
      </c>
      <c r="X99" s="46">
        <v>19</v>
      </c>
      <c r="Y99" s="46">
        <v>0</v>
      </c>
      <c r="Z99" s="43">
        <f t="shared" si="19"/>
        <v>19</v>
      </c>
    </row>
    <row r="100" spans="1:26" x14ac:dyDescent="0.25">
      <c r="A100" s="33"/>
      <c r="B100" s="33"/>
      <c r="C100" s="16" t="s">
        <v>21</v>
      </c>
      <c r="D100" s="17">
        <f>AVERAGE(D94:D99)</f>
        <v>2059.1666666666665</v>
      </c>
      <c r="E100" s="16"/>
      <c r="F100" s="18"/>
      <c r="G100" s="18"/>
      <c r="H100" s="36"/>
      <c r="I100" s="56"/>
      <c r="J100" s="18"/>
      <c r="K100" s="18"/>
      <c r="L100" s="36"/>
      <c r="M100" s="56"/>
      <c r="N100" s="18"/>
      <c r="O100" s="18"/>
      <c r="P100" s="36"/>
      <c r="Q100" s="56"/>
      <c r="R100" s="18"/>
      <c r="S100" s="18"/>
      <c r="T100" s="18"/>
      <c r="U100" s="18">
        <f>AVERAGE(U94:U99)</f>
        <v>10.333333333333334</v>
      </c>
      <c r="V100" s="16"/>
      <c r="W100" s="18"/>
      <c r="X100" s="18"/>
      <c r="Y100" s="18"/>
      <c r="Z100" s="36">
        <f>AVERAGE(Z94:Z99)</f>
        <v>10.333333333333334</v>
      </c>
    </row>
    <row r="101" spans="1:26" x14ac:dyDescent="0.25">
      <c r="A101" s="33"/>
      <c r="B101" s="33"/>
      <c r="C101" s="19" t="s">
        <v>12</v>
      </c>
      <c r="D101" s="20"/>
      <c r="E101" s="19"/>
      <c r="F101" s="20"/>
      <c r="G101" s="20"/>
      <c r="H101" s="21"/>
      <c r="I101" s="74"/>
      <c r="J101" s="20"/>
      <c r="K101" s="20"/>
      <c r="L101" s="21"/>
      <c r="M101" s="74"/>
      <c r="N101" s="20"/>
      <c r="O101" s="20"/>
      <c r="P101" s="21"/>
      <c r="Q101" s="74"/>
      <c r="R101" s="20"/>
      <c r="S101" s="20"/>
      <c r="T101" s="20"/>
      <c r="U101" s="20">
        <f>SUM(U94:U99)</f>
        <v>62</v>
      </c>
      <c r="V101" s="19"/>
      <c r="W101" s="20"/>
      <c r="X101" s="20"/>
      <c r="Y101" s="20"/>
      <c r="Z101" s="21">
        <f>SUM(Z94:Z99)</f>
        <v>62</v>
      </c>
    </row>
    <row r="102" spans="1:26" x14ac:dyDescent="0.25">
      <c r="A102" s="23"/>
      <c r="B102" s="23"/>
      <c r="C102" s="11" t="s">
        <v>134</v>
      </c>
      <c r="D102" s="23"/>
      <c r="E102" s="25"/>
      <c r="F102" s="23"/>
      <c r="G102" s="23"/>
      <c r="H102" s="26"/>
      <c r="I102" s="23"/>
      <c r="J102" s="23"/>
      <c r="K102" s="23"/>
      <c r="L102" s="26"/>
      <c r="M102" s="23"/>
      <c r="N102" s="23"/>
      <c r="O102" s="23"/>
      <c r="P102" s="26"/>
      <c r="Q102" s="23"/>
      <c r="R102" s="23"/>
      <c r="S102" s="23"/>
      <c r="T102" s="23"/>
      <c r="U102" s="23"/>
      <c r="V102" s="25"/>
      <c r="W102" s="23"/>
      <c r="X102" s="23"/>
      <c r="Y102" s="23"/>
      <c r="Z102" s="26"/>
    </row>
    <row r="103" spans="1:26" x14ac:dyDescent="0.25">
      <c r="A103" s="33"/>
      <c r="B103" s="13">
        <v>41296</v>
      </c>
      <c r="C103" s="33" t="s">
        <v>139</v>
      </c>
      <c r="D103" s="33">
        <f>34*60+30</f>
        <v>2070</v>
      </c>
      <c r="E103" s="6"/>
      <c r="F103" s="33"/>
      <c r="G103" s="33"/>
      <c r="H103" s="43"/>
      <c r="I103" s="15">
        <v>1</v>
      </c>
      <c r="J103" s="15">
        <v>0</v>
      </c>
      <c r="K103" s="15">
        <v>9</v>
      </c>
      <c r="L103" s="55">
        <v>0</v>
      </c>
      <c r="M103" s="15">
        <v>3</v>
      </c>
      <c r="N103" s="46">
        <v>1</v>
      </c>
      <c r="O103" s="46">
        <v>6</v>
      </c>
      <c r="P103" s="55">
        <v>0</v>
      </c>
      <c r="Q103" s="15">
        <v>3</v>
      </c>
      <c r="R103" s="46">
        <v>1</v>
      </c>
      <c r="S103" s="46">
        <v>7</v>
      </c>
      <c r="T103" s="46">
        <v>0</v>
      </c>
      <c r="U103" s="33">
        <f t="shared" ref="U103:U107" si="20">SUM(Q103:T103)</f>
        <v>11</v>
      </c>
      <c r="V103" s="6">
        <v>4</v>
      </c>
      <c r="W103" s="46">
        <v>1</v>
      </c>
      <c r="X103" s="46">
        <v>5</v>
      </c>
      <c r="Y103" s="46">
        <v>0</v>
      </c>
      <c r="Z103" s="43">
        <f t="shared" ref="Z103:Z107" si="21">SUM(V103:Y103)</f>
        <v>10</v>
      </c>
    </row>
    <row r="104" spans="1:26" x14ac:dyDescent="0.25">
      <c r="A104" s="33"/>
      <c r="B104" s="31">
        <v>41376</v>
      </c>
      <c r="C104" s="33" t="s">
        <v>194</v>
      </c>
      <c r="D104" s="33">
        <f>60*31</f>
        <v>1860</v>
      </c>
      <c r="E104" s="6"/>
      <c r="F104" s="33"/>
      <c r="G104" s="33"/>
      <c r="H104" s="43"/>
      <c r="I104" s="15"/>
      <c r="J104" s="15"/>
      <c r="K104" s="15"/>
      <c r="L104" s="43"/>
      <c r="M104" s="15"/>
      <c r="N104" s="15"/>
      <c r="O104" s="15"/>
      <c r="P104" s="43"/>
      <c r="Q104" s="15">
        <v>0</v>
      </c>
      <c r="R104" s="33">
        <v>2</v>
      </c>
      <c r="S104" s="33">
        <v>19</v>
      </c>
      <c r="T104" s="46">
        <v>0</v>
      </c>
      <c r="U104" s="33">
        <f t="shared" si="20"/>
        <v>21</v>
      </c>
      <c r="V104" s="6">
        <v>0</v>
      </c>
      <c r="W104" s="46">
        <v>2</v>
      </c>
      <c r="X104" s="46">
        <v>19</v>
      </c>
      <c r="Y104" s="46">
        <v>0</v>
      </c>
      <c r="Z104" s="43">
        <f t="shared" si="21"/>
        <v>21</v>
      </c>
    </row>
    <row r="105" spans="1:26" x14ac:dyDescent="0.25">
      <c r="A105" s="33"/>
      <c r="B105" s="31">
        <v>41376</v>
      </c>
      <c r="C105" s="33" t="s">
        <v>195</v>
      </c>
      <c r="D105" s="33">
        <f>29*60+50</f>
        <v>1790</v>
      </c>
      <c r="E105" s="6"/>
      <c r="F105" s="33"/>
      <c r="G105" s="33"/>
      <c r="H105" s="43"/>
      <c r="I105" s="15"/>
      <c r="J105" s="15"/>
      <c r="K105" s="15"/>
      <c r="L105" s="43"/>
      <c r="M105" s="15"/>
      <c r="N105" s="15"/>
      <c r="O105" s="15"/>
      <c r="P105" s="43"/>
      <c r="Q105" s="15">
        <v>2</v>
      </c>
      <c r="R105" s="33">
        <v>1</v>
      </c>
      <c r="S105" s="33">
        <v>13</v>
      </c>
      <c r="T105" s="46">
        <v>0</v>
      </c>
      <c r="U105" s="33">
        <f t="shared" si="20"/>
        <v>16</v>
      </c>
      <c r="V105" s="6">
        <v>2</v>
      </c>
      <c r="W105" s="46">
        <v>1</v>
      </c>
      <c r="X105" s="46">
        <v>13</v>
      </c>
      <c r="Y105" s="46">
        <v>0</v>
      </c>
      <c r="Z105" s="43">
        <f t="shared" si="21"/>
        <v>16</v>
      </c>
    </row>
    <row r="106" spans="1:26" x14ac:dyDescent="0.25">
      <c r="A106" s="33"/>
      <c r="B106" s="31">
        <v>41376</v>
      </c>
      <c r="C106" s="33" t="s">
        <v>196</v>
      </c>
      <c r="D106" s="33">
        <f>21*60</f>
        <v>1260</v>
      </c>
      <c r="E106" s="6"/>
      <c r="F106" s="33"/>
      <c r="G106" s="33"/>
      <c r="H106" s="43"/>
      <c r="I106" s="15"/>
      <c r="J106" s="15"/>
      <c r="K106" s="15"/>
      <c r="L106" s="43"/>
      <c r="M106" s="15"/>
      <c r="N106" s="15"/>
      <c r="O106" s="15"/>
      <c r="P106" s="43"/>
      <c r="Q106" s="15">
        <v>1</v>
      </c>
      <c r="R106" s="33">
        <v>1</v>
      </c>
      <c r="S106" s="33">
        <v>15</v>
      </c>
      <c r="T106" s="46">
        <v>0</v>
      </c>
      <c r="U106" s="33">
        <f t="shared" si="20"/>
        <v>17</v>
      </c>
      <c r="V106" s="6">
        <v>1</v>
      </c>
      <c r="W106" s="46">
        <v>1</v>
      </c>
      <c r="X106" s="46">
        <v>16</v>
      </c>
      <c r="Y106" s="46">
        <v>0</v>
      </c>
      <c r="Z106" s="43">
        <f t="shared" si="21"/>
        <v>18</v>
      </c>
    </row>
    <row r="107" spans="1:26" x14ac:dyDescent="0.25">
      <c r="A107" s="33"/>
      <c r="B107" s="13"/>
      <c r="C107" s="6"/>
      <c r="D107" s="43"/>
      <c r="E107" s="32"/>
      <c r="F107" s="33"/>
      <c r="G107" s="33"/>
      <c r="H107" s="43"/>
      <c r="I107" s="27"/>
      <c r="J107" s="15"/>
      <c r="K107" s="15"/>
      <c r="L107" s="43"/>
      <c r="M107" s="27"/>
      <c r="N107" s="15"/>
      <c r="O107" s="15"/>
      <c r="P107" s="43"/>
      <c r="Q107" s="27"/>
      <c r="R107" s="33"/>
      <c r="S107" s="33"/>
      <c r="T107" s="33"/>
      <c r="U107" s="33">
        <f t="shared" si="20"/>
        <v>0</v>
      </c>
      <c r="V107" s="32"/>
      <c r="W107" s="15"/>
      <c r="X107" s="15"/>
      <c r="Y107" s="15"/>
      <c r="Z107" s="43">
        <f t="shared" si="21"/>
        <v>0</v>
      </c>
    </row>
    <row r="108" spans="1:26" x14ac:dyDescent="0.25">
      <c r="A108" s="33"/>
      <c r="B108" s="33"/>
      <c r="C108" s="16" t="s">
        <v>21</v>
      </c>
      <c r="D108" s="36">
        <f>AVERAGE(D103:D107)</f>
        <v>1745</v>
      </c>
      <c r="E108" s="17"/>
      <c r="F108" s="17"/>
      <c r="G108" s="17"/>
      <c r="H108" s="36"/>
      <c r="I108" s="17"/>
      <c r="J108" s="17"/>
      <c r="K108" s="17"/>
      <c r="L108" s="36"/>
      <c r="M108" s="17"/>
      <c r="N108" s="17"/>
      <c r="O108" s="17"/>
      <c r="P108" s="36"/>
      <c r="Q108" s="17"/>
      <c r="R108" s="17"/>
      <c r="S108" s="17"/>
      <c r="T108" s="17"/>
      <c r="U108" s="17">
        <f>AVERAGE(U103:U107)</f>
        <v>13</v>
      </c>
      <c r="V108" s="17"/>
      <c r="W108" s="17"/>
      <c r="X108" s="17"/>
      <c r="Y108" s="17"/>
      <c r="Z108" s="36">
        <f>AVERAGE(Z103:Z107)</f>
        <v>13</v>
      </c>
    </row>
    <row r="109" spans="1:26" x14ac:dyDescent="0.25">
      <c r="A109" s="33"/>
      <c r="B109" s="33"/>
      <c r="C109" s="22" t="s">
        <v>12</v>
      </c>
      <c r="D109" s="21"/>
      <c r="E109" s="20"/>
      <c r="F109" s="20"/>
      <c r="G109" s="20"/>
      <c r="H109" s="21"/>
      <c r="I109" s="20"/>
      <c r="J109" s="20"/>
      <c r="K109" s="20"/>
      <c r="L109" s="21"/>
      <c r="M109" s="20"/>
      <c r="N109" s="20"/>
      <c r="O109" s="20"/>
      <c r="P109" s="21"/>
      <c r="Q109" s="60"/>
      <c r="R109" s="20"/>
      <c r="S109" s="20"/>
      <c r="T109" s="20"/>
      <c r="U109" s="22">
        <f>SUM(U103:U107)</f>
        <v>65</v>
      </c>
      <c r="V109" s="20"/>
      <c r="W109" s="20"/>
      <c r="X109" s="20"/>
      <c r="Y109" s="22"/>
      <c r="Z109" s="21">
        <f>SUM(Z103:Z107)</f>
        <v>65</v>
      </c>
    </row>
    <row r="110" spans="1:26" s="33" customFormat="1" x14ac:dyDescent="0.25">
      <c r="A110" s="23"/>
      <c r="B110" s="23"/>
      <c r="C110" s="11" t="s">
        <v>167</v>
      </c>
      <c r="D110" s="23"/>
      <c r="E110" s="25"/>
      <c r="F110" s="23"/>
      <c r="G110" s="23"/>
      <c r="H110" s="26"/>
      <c r="I110" s="23"/>
      <c r="J110" s="23"/>
      <c r="K110" s="23"/>
      <c r="L110" s="26"/>
      <c r="M110" s="23"/>
      <c r="N110" s="23"/>
      <c r="O110" s="23"/>
      <c r="P110" s="26"/>
      <c r="Q110" s="23"/>
      <c r="R110" s="23"/>
      <c r="S110" s="23"/>
      <c r="T110" s="23"/>
      <c r="U110" s="23"/>
      <c r="V110" s="25"/>
      <c r="W110" s="23"/>
      <c r="X110" s="23"/>
      <c r="Y110" s="23"/>
      <c r="Z110" s="26"/>
    </row>
    <row r="111" spans="1:26" s="33" customFormat="1" x14ac:dyDescent="0.25">
      <c r="B111" s="13">
        <v>41333</v>
      </c>
      <c r="C111" s="33" t="s">
        <v>168</v>
      </c>
      <c r="D111" s="33">
        <f>41*60</f>
        <v>2460</v>
      </c>
      <c r="E111" s="6">
        <v>0</v>
      </c>
      <c r="F111" s="46">
        <v>0</v>
      </c>
      <c r="G111" s="46">
        <v>17</v>
      </c>
      <c r="H111" s="55">
        <v>0</v>
      </c>
      <c r="I111" s="15">
        <v>0</v>
      </c>
      <c r="J111" s="46">
        <v>0</v>
      </c>
      <c r="K111" s="46">
        <v>17</v>
      </c>
      <c r="L111" s="55">
        <v>0</v>
      </c>
      <c r="M111" s="15">
        <v>0</v>
      </c>
      <c r="N111" s="46">
        <v>0</v>
      </c>
      <c r="O111" s="46">
        <v>17</v>
      </c>
      <c r="P111" s="55">
        <v>0</v>
      </c>
      <c r="Q111" s="15">
        <v>0</v>
      </c>
      <c r="R111" s="46">
        <v>0</v>
      </c>
      <c r="S111" s="46">
        <v>17</v>
      </c>
      <c r="T111" s="46">
        <v>0</v>
      </c>
      <c r="U111" s="33">
        <f t="shared" ref="U111:U115" si="22">SUM(Q111:T111)</f>
        <v>17</v>
      </c>
      <c r="V111" s="6">
        <v>0</v>
      </c>
      <c r="W111" s="46">
        <v>0</v>
      </c>
      <c r="X111" s="46">
        <v>17</v>
      </c>
      <c r="Y111" s="46">
        <v>0</v>
      </c>
      <c r="Z111" s="43">
        <f t="shared" ref="Z111:Z115" si="23">SUM(V111:Y111)</f>
        <v>17</v>
      </c>
    </row>
    <row r="112" spans="1:26" s="33" customFormat="1" x14ac:dyDescent="0.25">
      <c r="B112" s="13">
        <v>41333</v>
      </c>
      <c r="C112" s="33" t="s">
        <v>169</v>
      </c>
      <c r="D112" s="33">
        <f>60*38</f>
        <v>2280</v>
      </c>
      <c r="E112" s="6">
        <v>0</v>
      </c>
      <c r="F112" s="33">
        <v>0</v>
      </c>
      <c r="G112" s="33">
        <v>20</v>
      </c>
      <c r="H112" s="55">
        <v>0</v>
      </c>
      <c r="I112" s="15">
        <v>0</v>
      </c>
      <c r="J112" s="33">
        <v>0</v>
      </c>
      <c r="K112" s="33">
        <v>20</v>
      </c>
      <c r="L112" s="55">
        <v>0</v>
      </c>
      <c r="M112" s="15">
        <v>0</v>
      </c>
      <c r="N112" s="33">
        <v>0</v>
      </c>
      <c r="O112" s="33">
        <v>20</v>
      </c>
      <c r="P112" s="55">
        <v>0</v>
      </c>
      <c r="Q112" s="15">
        <v>0</v>
      </c>
      <c r="R112" s="33">
        <v>0</v>
      </c>
      <c r="S112" s="33">
        <v>20</v>
      </c>
      <c r="T112" s="46">
        <v>0</v>
      </c>
      <c r="U112" s="33">
        <f t="shared" si="22"/>
        <v>20</v>
      </c>
      <c r="V112" s="6">
        <v>0</v>
      </c>
      <c r="W112" s="33">
        <v>0</v>
      </c>
      <c r="X112" s="33">
        <v>20</v>
      </c>
      <c r="Y112" s="46">
        <v>0</v>
      </c>
      <c r="Z112" s="43">
        <f t="shared" si="23"/>
        <v>20</v>
      </c>
    </row>
    <row r="113" spans="1:26" s="33" customFormat="1" x14ac:dyDescent="0.25">
      <c r="B113" s="13">
        <v>41333</v>
      </c>
      <c r="C113" s="33" t="s">
        <v>170</v>
      </c>
      <c r="D113" s="33">
        <f>60*39</f>
        <v>2340</v>
      </c>
      <c r="E113" s="6">
        <v>0</v>
      </c>
      <c r="F113" s="33">
        <v>0</v>
      </c>
      <c r="G113" s="46">
        <v>19</v>
      </c>
      <c r="H113" s="55">
        <v>0</v>
      </c>
      <c r="I113" s="15">
        <v>0</v>
      </c>
      <c r="J113" s="33">
        <v>0</v>
      </c>
      <c r="K113" s="46">
        <v>19</v>
      </c>
      <c r="L113" s="55">
        <v>0</v>
      </c>
      <c r="M113" s="15">
        <v>0</v>
      </c>
      <c r="N113" s="33">
        <v>0</v>
      </c>
      <c r="O113" s="46">
        <v>19</v>
      </c>
      <c r="P113" s="55">
        <v>0</v>
      </c>
      <c r="Q113" s="15">
        <v>0</v>
      </c>
      <c r="R113" s="33">
        <v>0</v>
      </c>
      <c r="S113" s="46">
        <v>19</v>
      </c>
      <c r="T113" s="46">
        <v>0</v>
      </c>
      <c r="U113" s="33">
        <f t="shared" si="22"/>
        <v>19</v>
      </c>
      <c r="V113" s="6">
        <v>0</v>
      </c>
      <c r="W113" s="33">
        <v>0</v>
      </c>
      <c r="X113" s="46">
        <v>19</v>
      </c>
      <c r="Y113" s="46">
        <v>0</v>
      </c>
      <c r="Z113" s="43">
        <f t="shared" si="23"/>
        <v>19</v>
      </c>
    </row>
    <row r="114" spans="1:26" s="33" customFormat="1" x14ac:dyDescent="0.25">
      <c r="B114" s="13"/>
      <c r="C114" s="6"/>
      <c r="E114" s="6"/>
      <c r="H114" s="43"/>
      <c r="I114" s="15"/>
      <c r="J114" s="15"/>
      <c r="K114" s="15"/>
      <c r="L114" s="43"/>
      <c r="M114" s="15"/>
      <c r="N114" s="15"/>
      <c r="O114" s="15"/>
      <c r="P114" s="43"/>
      <c r="Q114" s="15"/>
      <c r="U114" s="33">
        <f t="shared" si="22"/>
        <v>0</v>
      </c>
      <c r="V114" s="6"/>
      <c r="W114" s="15"/>
      <c r="X114" s="15"/>
      <c r="Y114" s="15"/>
      <c r="Z114" s="43">
        <f t="shared" si="23"/>
        <v>0</v>
      </c>
    </row>
    <row r="115" spans="1:26" s="33" customFormat="1" x14ac:dyDescent="0.25">
      <c r="B115" s="13"/>
      <c r="C115" s="6"/>
      <c r="D115" s="43"/>
      <c r="E115" s="32"/>
      <c r="H115" s="43"/>
      <c r="I115" s="27"/>
      <c r="J115" s="15"/>
      <c r="K115" s="15"/>
      <c r="L115" s="43"/>
      <c r="M115" s="27"/>
      <c r="N115" s="15"/>
      <c r="O115" s="15"/>
      <c r="P115" s="43"/>
      <c r="Q115" s="27"/>
      <c r="U115" s="33">
        <f t="shared" si="22"/>
        <v>0</v>
      </c>
      <c r="V115" s="32"/>
      <c r="W115" s="15"/>
      <c r="X115" s="15"/>
      <c r="Y115" s="15"/>
      <c r="Z115" s="43">
        <f t="shared" si="23"/>
        <v>0</v>
      </c>
    </row>
    <row r="116" spans="1:26" s="33" customFormat="1" x14ac:dyDescent="0.25">
      <c r="C116" s="16" t="s">
        <v>21</v>
      </c>
      <c r="D116" s="36">
        <f>AVERAGE(D111:D115)</f>
        <v>2360</v>
      </c>
      <c r="E116" s="17"/>
      <c r="F116" s="17"/>
      <c r="G116" s="17"/>
      <c r="H116" s="36"/>
      <c r="I116" s="17"/>
      <c r="J116" s="17"/>
      <c r="K116" s="17"/>
      <c r="L116" s="36"/>
      <c r="M116" s="17"/>
      <c r="N116" s="17"/>
      <c r="O116" s="17"/>
      <c r="P116" s="36"/>
      <c r="Q116" s="17"/>
      <c r="R116" s="17"/>
      <c r="S116" s="17"/>
      <c r="T116" s="17"/>
      <c r="U116" s="17">
        <f>AVERAGE(U111:U115)</f>
        <v>11.2</v>
      </c>
      <c r="V116" s="17"/>
      <c r="W116" s="17"/>
      <c r="X116" s="17"/>
      <c r="Y116" s="17"/>
      <c r="Z116" s="36">
        <f>AVERAGE(Z111:Z115)</f>
        <v>11.2</v>
      </c>
    </row>
    <row r="117" spans="1:26" s="33" customFormat="1" x14ac:dyDescent="0.25">
      <c r="A117" s="59"/>
      <c r="B117" s="59"/>
      <c r="C117" s="60" t="s">
        <v>12</v>
      </c>
      <c r="D117" s="61"/>
      <c r="E117" s="60"/>
      <c r="F117" s="60"/>
      <c r="G117" s="60"/>
      <c r="H117" s="61"/>
      <c r="I117" s="60"/>
      <c r="J117" s="60"/>
      <c r="K117" s="60"/>
      <c r="L117" s="61"/>
      <c r="M117" s="60"/>
      <c r="N117" s="60"/>
      <c r="O117" s="60"/>
      <c r="P117" s="61"/>
      <c r="Q117" s="60"/>
      <c r="R117" s="60"/>
      <c r="S117" s="60"/>
      <c r="T117" s="60"/>
      <c r="U117" s="60">
        <f>SUM(U111:U115)</f>
        <v>56</v>
      </c>
      <c r="V117" s="60"/>
      <c r="W117" s="60"/>
      <c r="X117" s="60"/>
      <c r="Y117" s="60"/>
      <c r="Z117" s="61">
        <f>SUM(Z111:Z115)</f>
        <v>56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31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5" sqref="D35"/>
    </sheetView>
  </sheetViews>
  <sheetFormatPr defaultColWidth="8.85546875" defaultRowHeight="15" x14ac:dyDescent="0.25"/>
  <cols>
    <col min="1" max="1" width="33.42578125" style="33" customWidth="1"/>
    <col min="2" max="2" width="23.5703125" style="33" customWidth="1"/>
    <col min="3" max="3" width="33.7109375" style="6" customWidth="1"/>
    <col min="4" max="4" width="8.85546875" style="33"/>
    <col min="5" max="5" width="6.28515625" style="33" bestFit="1" customWidth="1"/>
    <col min="6" max="6" width="2.42578125" style="33" bestFit="1" customWidth="1"/>
    <col min="7" max="7" width="3" style="33" bestFit="1" customWidth="1"/>
    <col min="8" max="8" width="2.42578125" style="33" bestFit="1" customWidth="1"/>
    <col min="9" max="9" width="4.42578125" style="33" customWidth="1"/>
    <col min="10" max="10" width="7.42578125" style="33" bestFit="1" customWidth="1"/>
    <col min="11" max="12" width="3" style="33" bestFit="1" customWidth="1"/>
    <col min="13" max="13" width="3.85546875" style="33" bestFit="1" customWidth="1"/>
    <col min="14" max="15" width="5.42578125" style="33" customWidth="1"/>
    <col min="16" max="16" width="2.42578125" style="33" bestFit="1" customWidth="1"/>
    <col min="17" max="17" width="5" style="33" bestFit="1" customWidth="1"/>
    <col min="18" max="18" width="2.42578125" style="33" bestFit="1" customWidth="1"/>
    <col min="19" max="19" width="5.28515625" style="33" customWidth="1"/>
    <col min="20" max="20" width="5" style="33" bestFit="1" customWidth="1"/>
    <col min="21" max="21" width="5" style="33" customWidth="1"/>
    <col min="22" max="22" width="3" style="33" bestFit="1" customWidth="1"/>
    <col min="23" max="23" width="2.42578125" style="33" bestFit="1" customWidth="1"/>
    <col min="24" max="24" width="5" style="33" customWidth="1"/>
    <col min="25" max="25" width="5" style="33" bestFit="1" customWidth="1"/>
    <col min="26" max="26" width="5.28515625" style="33" customWidth="1"/>
    <col min="27" max="27" width="4" style="33" bestFit="1" customWidth="1"/>
    <col min="28" max="28" width="2.42578125" style="33" bestFit="1" customWidth="1"/>
    <col min="29" max="29" width="12" style="33" bestFit="1" customWidth="1"/>
    <col min="30" max="30" width="2.7109375" style="33" bestFit="1" customWidth="1"/>
    <col min="31" max="31" width="5.7109375" style="33" bestFit="1" customWidth="1"/>
    <col min="32" max="48" width="8.85546875" style="33"/>
    <col min="49" max="49" width="8.85546875" style="15"/>
    <col min="50" max="16384" width="8.85546875" style="33"/>
  </cols>
  <sheetData>
    <row r="1" spans="1:283" x14ac:dyDescent="0.25">
      <c r="A1" s="1" t="s">
        <v>213</v>
      </c>
      <c r="B1" s="2" t="s">
        <v>0</v>
      </c>
      <c r="C1" s="3"/>
      <c r="D1" s="4" t="s">
        <v>220</v>
      </c>
      <c r="E1" s="5" t="s">
        <v>1</v>
      </c>
      <c r="F1" s="2"/>
      <c r="G1" s="2"/>
      <c r="H1" s="1"/>
      <c r="I1" s="73" t="s">
        <v>2</v>
      </c>
      <c r="J1" s="2"/>
      <c r="K1" s="2"/>
      <c r="L1" s="2"/>
      <c r="M1" s="5" t="s">
        <v>3</v>
      </c>
      <c r="N1" s="2"/>
      <c r="O1" s="2"/>
      <c r="P1" s="2"/>
      <c r="Q1" s="5" t="s">
        <v>4</v>
      </c>
      <c r="R1" s="2"/>
      <c r="S1" s="2"/>
      <c r="T1" s="2"/>
      <c r="U1" s="2"/>
      <c r="V1" s="5" t="s">
        <v>5</v>
      </c>
      <c r="W1" s="2"/>
      <c r="X1" s="2"/>
      <c r="Y1" s="2"/>
      <c r="Z1" s="1"/>
      <c r="AT1" s="15"/>
      <c r="AW1" s="33"/>
    </row>
    <row r="2" spans="1:283" s="59" customFormat="1" x14ac:dyDescent="0.25">
      <c r="A2" s="33"/>
      <c r="B2" s="33"/>
      <c r="C2" s="11" t="s">
        <v>198</v>
      </c>
      <c r="D2" s="7"/>
      <c r="E2" s="8" t="s">
        <v>7</v>
      </c>
      <c r="F2" s="9" t="s">
        <v>8</v>
      </c>
      <c r="G2" s="9" t="s">
        <v>9</v>
      </c>
      <c r="H2" s="67" t="s">
        <v>10</v>
      </c>
      <c r="I2" s="9" t="s">
        <v>7</v>
      </c>
      <c r="J2" s="9" t="s">
        <v>8</v>
      </c>
      <c r="K2" s="9" t="s">
        <v>9</v>
      </c>
      <c r="L2" s="9" t="s">
        <v>10</v>
      </c>
      <c r="M2" s="8" t="s">
        <v>7</v>
      </c>
      <c r="N2" s="9" t="s">
        <v>8</v>
      </c>
      <c r="O2" s="9" t="s">
        <v>9</v>
      </c>
      <c r="P2" s="9" t="s">
        <v>10</v>
      </c>
      <c r="Q2" s="8" t="s">
        <v>7</v>
      </c>
      <c r="R2" s="9" t="s">
        <v>8</v>
      </c>
      <c r="S2" s="9" t="s">
        <v>9</v>
      </c>
      <c r="T2" s="9" t="s">
        <v>10</v>
      </c>
      <c r="U2" s="9" t="s">
        <v>11</v>
      </c>
      <c r="V2" s="8" t="s">
        <v>7</v>
      </c>
      <c r="W2" s="9" t="s">
        <v>8</v>
      </c>
      <c r="X2" s="9" t="s">
        <v>9</v>
      </c>
      <c r="Y2" s="9" t="s">
        <v>10</v>
      </c>
      <c r="Z2" s="67" t="s">
        <v>12</v>
      </c>
      <c r="AA2" s="33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</row>
    <row r="3" spans="1:283" s="15" customFormat="1" x14ac:dyDescent="0.25">
      <c r="A3" s="33"/>
      <c r="C3" s="11" t="s">
        <v>14</v>
      </c>
      <c r="E3" s="6"/>
      <c r="H3" s="43"/>
      <c r="M3" s="6"/>
      <c r="Q3" s="6"/>
      <c r="U3" s="43"/>
      <c r="V3" s="6"/>
      <c r="Z3" s="43"/>
      <c r="AA3" s="33"/>
    </row>
    <row r="4" spans="1:283" s="15" customFormat="1" x14ac:dyDescent="0.25">
      <c r="A4" s="33"/>
      <c r="B4" s="13">
        <v>41807</v>
      </c>
      <c r="C4" s="6" t="s">
        <v>208</v>
      </c>
      <c r="D4" s="33">
        <f>AVERAGE(20,18,15,12,8,12,30,30,30,8,8,5,15,10,25,15,8,10,18,8)</f>
        <v>15.25</v>
      </c>
      <c r="E4" s="6"/>
      <c r="F4" s="33"/>
      <c r="G4" s="33"/>
      <c r="H4" s="43"/>
      <c r="I4" s="15">
        <v>0</v>
      </c>
      <c r="J4" s="15">
        <v>1</v>
      </c>
      <c r="K4" s="15">
        <v>14</v>
      </c>
      <c r="L4" s="46">
        <v>0</v>
      </c>
      <c r="M4" s="6">
        <v>0</v>
      </c>
      <c r="N4" s="46">
        <v>1</v>
      </c>
      <c r="O4" s="46">
        <v>13</v>
      </c>
      <c r="P4" s="46">
        <v>0</v>
      </c>
      <c r="Q4" s="6">
        <v>1</v>
      </c>
      <c r="R4" s="46">
        <v>0</v>
      </c>
      <c r="S4" s="46">
        <v>13</v>
      </c>
      <c r="T4" s="46">
        <v>0</v>
      </c>
      <c r="U4" s="33">
        <f t="shared" ref="U4:U10" si="0">SUM(Q4:T4)</f>
        <v>14</v>
      </c>
      <c r="V4" s="6">
        <v>0</v>
      </c>
      <c r="W4" s="46">
        <v>3</v>
      </c>
      <c r="X4" s="46">
        <v>10</v>
      </c>
      <c r="Y4" s="46">
        <v>0</v>
      </c>
      <c r="Z4" s="43">
        <f t="shared" ref="Z4:Z10" si="1">SUM(V4:Y4)</f>
        <v>13</v>
      </c>
      <c r="AA4" s="33"/>
    </row>
    <row r="5" spans="1:283" s="48" customFormat="1" x14ac:dyDescent="0.25">
      <c r="A5" s="47" t="s">
        <v>221</v>
      </c>
      <c r="B5" s="71">
        <v>41807</v>
      </c>
      <c r="C5" s="68" t="s">
        <v>209</v>
      </c>
      <c r="D5" s="47">
        <f>AVERAGE(18,8,6,6,6,12,12,12,12,15,18,8,14,12,15,18,18,15,20,15)</f>
        <v>13</v>
      </c>
      <c r="E5" s="68"/>
      <c r="F5" s="47"/>
      <c r="G5" s="47"/>
      <c r="H5" s="69"/>
      <c r="M5" s="68"/>
      <c r="Q5" s="68"/>
      <c r="U5" s="47">
        <f t="shared" si="0"/>
        <v>0</v>
      </c>
      <c r="V5" s="68"/>
      <c r="Z5" s="69">
        <f t="shared" si="1"/>
        <v>0</v>
      </c>
      <c r="AA5" s="47"/>
    </row>
    <row r="6" spans="1:283" s="15" customFormat="1" x14ac:dyDescent="0.25">
      <c r="A6" s="33"/>
      <c r="B6" s="13"/>
      <c r="C6" s="6"/>
      <c r="D6" s="33"/>
      <c r="E6" s="6"/>
      <c r="F6" s="33"/>
      <c r="G6" s="33"/>
      <c r="H6" s="43"/>
      <c r="M6" s="6"/>
      <c r="Q6" s="6"/>
      <c r="R6" s="33"/>
      <c r="S6" s="33"/>
      <c r="T6" s="46"/>
      <c r="U6" s="33">
        <f t="shared" si="0"/>
        <v>0</v>
      </c>
      <c r="V6" s="6"/>
      <c r="W6" s="46"/>
      <c r="X6" s="46"/>
      <c r="Y6" s="46"/>
      <c r="Z6" s="43">
        <f t="shared" si="1"/>
        <v>0</v>
      </c>
      <c r="AA6" s="33"/>
    </row>
    <row r="7" spans="1:283" s="15" customFormat="1" x14ac:dyDescent="0.25">
      <c r="A7" s="33"/>
      <c r="B7" s="13"/>
      <c r="C7" s="6"/>
      <c r="D7" s="33"/>
      <c r="E7" s="6"/>
      <c r="F7" s="33"/>
      <c r="G7" s="33"/>
      <c r="H7" s="43"/>
      <c r="M7" s="6"/>
      <c r="Q7" s="6"/>
      <c r="R7" s="33"/>
      <c r="S7" s="33"/>
      <c r="T7" s="46"/>
      <c r="U7" s="33">
        <f t="shared" si="0"/>
        <v>0</v>
      </c>
      <c r="V7" s="6"/>
      <c r="W7" s="46"/>
      <c r="X7" s="46"/>
      <c r="Y7" s="46"/>
      <c r="Z7" s="43">
        <f t="shared" si="1"/>
        <v>0</v>
      </c>
      <c r="AA7" s="33"/>
    </row>
    <row r="8" spans="1:283" s="15" customFormat="1" x14ac:dyDescent="0.25">
      <c r="A8" s="33"/>
      <c r="B8" s="13"/>
      <c r="C8" s="6"/>
      <c r="D8" s="33"/>
      <c r="E8" s="6"/>
      <c r="F8" s="33"/>
      <c r="G8" s="33"/>
      <c r="H8" s="43"/>
      <c r="L8" s="46"/>
      <c r="M8" s="6"/>
      <c r="Q8" s="6"/>
      <c r="R8" s="33"/>
      <c r="S8" s="33"/>
      <c r="T8" s="46"/>
      <c r="U8" s="33">
        <f t="shared" si="0"/>
        <v>0</v>
      </c>
      <c r="V8" s="6"/>
      <c r="W8" s="46"/>
      <c r="X8" s="46"/>
      <c r="Y8" s="46"/>
      <c r="Z8" s="43">
        <f t="shared" si="1"/>
        <v>0</v>
      </c>
      <c r="AA8" s="33"/>
    </row>
    <row r="9" spans="1:283" s="15" customFormat="1" x14ac:dyDescent="0.25">
      <c r="A9" s="33"/>
      <c r="B9" s="13"/>
      <c r="C9" s="6"/>
      <c r="D9" s="65"/>
      <c r="E9" s="64"/>
      <c r="F9" s="65"/>
      <c r="G9" s="65"/>
      <c r="H9" s="78"/>
      <c r="I9" s="66"/>
      <c r="J9" s="66"/>
      <c r="K9" s="66"/>
      <c r="L9" s="66"/>
      <c r="M9" s="64"/>
      <c r="N9" s="66"/>
      <c r="O9" s="66"/>
      <c r="P9" s="66"/>
      <c r="Q9" s="64"/>
      <c r="R9" s="65"/>
      <c r="S9" s="65"/>
      <c r="T9" s="65"/>
      <c r="U9" s="65">
        <f t="shared" si="0"/>
        <v>0</v>
      </c>
      <c r="V9" s="64"/>
      <c r="W9" s="66"/>
      <c r="X9" s="66"/>
      <c r="Y9" s="66"/>
      <c r="Z9" s="78">
        <f t="shared" si="1"/>
        <v>0</v>
      </c>
      <c r="AA9" s="33"/>
    </row>
    <row r="10" spans="1:283" s="15" customFormat="1" x14ac:dyDescent="0.25">
      <c r="A10" s="33"/>
      <c r="B10" s="13"/>
      <c r="C10" s="6"/>
      <c r="D10" s="65"/>
      <c r="E10" s="64"/>
      <c r="F10" s="65"/>
      <c r="G10" s="65"/>
      <c r="H10" s="78"/>
      <c r="I10" s="66"/>
      <c r="J10" s="66"/>
      <c r="K10" s="66"/>
      <c r="L10" s="66"/>
      <c r="M10" s="64"/>
      <c r="N10" s="66"/>
      <c r="O10" s="66"/>
      <c r="P10" s="66"/>
      <c r="Q10" s="64"/>
      <c r="R10" s="65"/>
      <c r="S10" s="65"/>
      <c r="T10" s="65"/>
      <c r="U10" s="65">
        <f t="shared" si="0"/>
        <v>0</v>
      </c>
      <c r="V10" s="64"/>
      <c r="W10" s="66"/>
      <c r="X10" s="66"/>
      <c r="Y10" s="66"/>
      <c r="Z10" s="78">
        <f t="shared" si="1"/>
        <v>0</v>
      </c>
      <c r="AA10" s="33"/>
    </row>
    <row r="11" spans="1:283" s="15" customFormat="1" x14ac:dyDescent="0.25">
      <c r="A11" s="33"/>
      <c r="B11" s="27"/>
      <c r="C11" s="16" t="s">
        <v>21</v>
      </c>
      <c r="D11" s="17">
        <f>AVERAGE(D4:D5)</f>
        <v>14.125</v>
      </c>
      <c r="E11" s="16"/>
      <c r="F11" s="18"/>
      <c r="G11" s="18"/>
      <c r="H11" s="36"/>
      <c r="I11" s="56"/>
      <c r="J11" s="18"/>
      <c r="K11" s="18"/>
      <c r="L11" s="18"/>
      <c r="M11" s="16"/>
      <c r="N11" s="18"/>
      <c r="O11" s="18"/>
      <c r="P11" s="18"/>
      <c r="Q11" s="16"/>
      <c r="R11" s="18"/>
      <c r="S11" s="18"/>
      <c r="T11" s="18"/>
      <c r="U11" s="18"/>
      <c r="V11" s="16"/>
      <c r="W11" s="18"/>
      <c r="X11" s="18"/>
      <c r="Y11" s="18"/>
      <c r="Z11" s="36"/>
      <c r="AA11" s="33"/>
    </row>
    <row r="12" spans="1:283" s="15" customFormat="1" x14ac:dyDescent="0.25">
      <c r="A12" s="33"/>
      <c r="B12" s="2"/>
      <c r="C12" s="63" t="s">
        <v>12</v>
      </c>
      <c r="D12" s="60"/>
      <c r="E12" s="63"/>
      <c r="F12" s="60"/>
      <c r="G12" s="60"/>
      <c r="H12" s="61"/>
      <c r="I12" s="79"/>
      <c r="J12" s="60"/>
      <c r="K12" s="60"/>
      <c r="L12" s="60"/>
      <c r="M12" s="63"/>
      <c r="N12" s="60"/>
      <c r="O12" s="60"/>
      <c r="P12" s="60"/>
      <c r="Q12" s="63"/>
      <c r="R12" s="60"/>
      <c r="S12" s="60"/>
      <c r="T12" s="60"/>
      <c r="U12" s="60">
        <f>SUM(U4:U10)</f>
        <v>14</v>
      </c>
      <c r="V12" s="63"/>
      <c r="W12" s="60"/>
      <c r="X12" s="60"/>
      <c r="Y12" s="60"/>
      <c r="Z12" s="61">
        <f>SUM(Z4:Z10)</f>
        <v>13</v>
      </c>
      <c r="AA12" s="59"/>
      <c r="AB12" s="59"/>
    </row>
    <row r="13" spans="1:283" x14ac:dyDescent="0.25">
      <c r="C13" s="70" t="s">
        <v>22</v>
      </c>
      <c r="D13" s="12"/>
      <c r="E13" s="6"/>
      <c r="H13" s="43"/>
      <c r="I13" s="15"/>
      <c r="M13" s="6"/>
      <c r="Q13" s="6"/>
      <c r="V13" s="6"/>
      <c r="Z13" s="43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</row>
    <row r="14" spans="1:283" x14ac:dyDescent="0.25">
      <c r="B14" s="13">
        <v>41668</v>
      </c>
      <c r="C14" s="6" t="s">
        <v>203</v>
      </c>
      <c r="D14" s="33">
        <f>AVERAGE(12,10,10,18,18,20,20,15,12,12,18,18,10,10,10,18,15,15,10,10)</f>
        <v>14.05</v>
      </c>
      <c r="E14" s="6"/>
      <c r="H14" s="43"/>
      <c r="I14" s="15"/>
      <c r="M14" s="6"/>
      <c r="Q14" s="6"/>
      <c r="V14" s="6">
        <v>4</v>
      </c>
      <c r="W14" s="46">
        <v>5</v>
      </c>
      <c r="X14" s="46">
        <v>4</v>
      </c>
      <c r="Y14" s="46">
        <v>0</v>
      </c>
      <c r="Z14" s="43">
        <f>SUM(V14:Y14)</f>
        <v>13</v>
      </c>
      <c r="AT14" s="15"/>
      <c r="AW14" s="33"/>
    </row>
    <row r="15" spans="1:283" x14ac:dyDescent="0.25">
      <c r="B15" s="13">
        <v>41668</v>
      </c>
      <c r="C15" s="6" t="s">
        <v>204</v>
      </c>
      <c r="D15" s="33">
        <f>AVERAGE(18,15,12,10,15,12,10,10,10,10,12,10,18,20,10,15,15,18,18,12)</f>
        <v>13.5</v>
      </c>
      <c r="E15" s="6"/>
      <c r="H15" s="55"/>
      <c r="I15" s="15"/>
      <c r="J15" s="46"/>
      <c r="K15" s="46"/>
      <c r="L15" s="46"/>
      <c r="M15" s="6"/>
      <c r="N15" s="46"/>
      <c r="O15" s="46"/>
      <c r="P15" s="46"/>
      <c r="Q15" s="6"/>
      <c r="R15" s="46"/>
      <c r="S15" s="46"/>
      <c r="T15" s="46"/>
      <c r="U15" s="33">
        <f t="shared" ref="U15:U21" si="2">SUM(Q15:T15)</f>
        <v>0</v>
      </c>
      <c r="V15" s="6">
        <v>0</v>
      </c>
      <c r="W15" s="46">
        <v>3</v>
      </c>
      <c r="X15" s="46">
        <v>11</v>
      </c>
      <c r="Y15" s="46">
        <v>0</v>
      </c>
      <c r="Z15" s="43">
        <f t="shared" ref="Z15:Z20" si="3">SUM(V15:Y15)</f>
        <v>14</v>
      </c>
      <c r="AT15" s="15"/>
      <c r="AW15" s="33"/>
    </row>
    <row r="16" spans="1:283" x14ac:dyDescent="0.25">
      <c r="B16" s="13">
        <v>41668</v>
      </c>
      <c r="C16" s="6" t="s">
        <v>205</v>
      </c>
      <c r="D16" s="33">
        <f>AVERAGE(30,15,12,10,10,10,12,25,18,12,12,12,12,18,10,10,10,20,20,20)</f>
        <v>14.9</v>
      </c>
      <c r="E16" s="6"/>
      <c r="H16" s="55"/>
      <c r="I16" s="15"/>
      <c r="J16" s="46"/>
      <c r="K16" s="46"/>
      <c r="L16" s="46"/>
      <c r="M16" s="6"/>
      <c r="N16" s="46"/>
      <c r="O16" s="46"/>
      <c r="P16" s="46"/>
      <c r="Q16" s="6"/>
      <c r="R16" s="46"/>
      <c r="S16" s="46"/>
      <c r="T16" s="46"/>
      <c r="U16" s="33">
        <f t="shared" si="2"/>
        <v>0</v>
      </c>
      <c r="V16" s="6">
        <v>5</v>
      </c>
      <c r="W16" s="46">
        <v>5</v>
      </c>
      <c r="X16" s="46">
        <v>8</v>
      </c>
      <c r="Y16" s="46">
        <v>1</v>
      </c>
      <c r="Z16" s="43">
        <f t="shared" si="3"/>
        <v>19</v>
      </c>
      <c r="AT16" s="15"/>
      <c r="AW16" s="33"/>
    </row>
    <row r="17" spans="1:49" x14ac:dyDescent="0.25">
      <c r="B17" s="13">
        <v>41668</v>
      </c>
      <c r="C17" s="6" t="s">
        <v>206</v>
      </c>
      <c r="D17" s="33">
        <f>AVERAGE(12,12,10,12,12,25,10,10,12,10,12,10,10,10,10,10,10,10,12,10)</f>
        <v>11.45</v>
      </c>
      <c r="E17" s="6"/>
      <c r="H17" s="55"/>
      <c r="I17" s="15"/>
      <c r="J17" s="46"/>
      <c r="K17" s="46"/>
      <c r="L17" s="46"/>
      <c r="M17" s="6"/>
      <c r="N17" s="46"/>
      <c r="O17" s="46"/>
      <c r="P17" s="46"/>
      <c r="Q17" s="6"/>
      <c r="R17" s="46"/>
      <c r="S17" s="46"/>
      <c r="T17" s="46"/>
      <c r="U17" s="33">
        <f t="shared" si="2"/>
        <v>0</v>
      </c>
      <c r="V17" s="6">
        <v>1</v>
      </c>
      <c r="W17" s="46">
        <v>2</v>
      </c>
      <c r="X17" s="46">
        <v>14</v>
      </c>
      <c r="Y17" s="46">
        <v>1</v>
      </c>
      <c r="Z17" s="43">
        <f t="shared" si="3"/>
        <v>18</v>
      </c>
      <c r="AT17" s="15"/>
      <c r="AW17" s="33"/>
    </row>
    <row r="18" spans="1:49" x14ac:dyDescent="0.25">
      <c r="B18" s="13">
        <v>41591</v>
      </c>
      <c r="C18" s="6" t="s">
        <v>207</v>
      </c>
      <c r="E18" s="6"/>
      <c r="H18" s="43"/>
      <c r="I18" s="15"/>
      <c r="J18" s="46"/>
      <c r="K18" s="46"/>
      <c r="L18" s="46"/>
      <c r="M18" s="6"/>
      <c r="N18" s="46"/>
      <c r="O18" s="46"/>
      <c r="P18" s="46"/>
      <c r="Q18" s="6">
        <v>3</v>
      </c>
      <c r="R18" s="46">
        <v>6</v>
      </c>
      <c r="S18" s="46">
        <v>8</v>
      </c>
      <c r="T18" s="46">
        <v>0</v>
      </c>
      <c r="U18" s="33">
        <f t="shared" si="2"/>
        <v>17</v>
      </c>
      <c r="V18" s="54">
        <v>5</v>
      </c>
      <c r="W18" s="46">
        <v>10</v>
      </c>
      <c r="X18" s="46">
        <v>2</v>
      </c>
      <c r="Y18" s="46">
        <v>0</v>
      </c>
      <c r="Z18" s="43">
        <f t="shared" si="3"/>
        <v>17</v>
      </c>
      <c r="AT18" s="15"/>
      <c r="AW18" s="33"/>
    </row>
    <row r="19" spans="1:49" x14ac:dyDescent="0.25">
      <c r="B19" s="13"/>
      <c r="E19" s="6"/>
      <c r="G19" s="46"/>
      <c r="H19" s="55"/>
      <c r="I19" s="15"/>
      <c r="J19" s="46"/>
      <c r="K19" s="46"/>
      <c r="L19" s="46"/>
      <c r="M19" s="6"/>
      <c r="N19" s="46"/>
      <c r="O19" s="46"/>
      <c r="P19" s="46"/>
      <c r="Q19" s="6"/>
      <c r="R19" s="46"/>
      <c r="S19" s="46"/>
      <c r="T19" s="46"/>
      <c r="U19" s="33">
        <f t="shared" si="2"/>
        <v>0</v>
      </c>
      <c r="V19" s="6"/>
      <c r="W19" s="46"/>
      <c r="X19" s="46"/>
      <c r="Y19" s="46"/>
      <c r="Z19" s="43">
        <f t="shared" si="3"/>
        <v>0</v>
      </c>
      <c r="AT19" s="15"/>
      <c r="AW19" s="33"/>
    </row>
    <row r="20" spans="1:49" x14ac:dyDescent="0.25">
      <c r="B20" s="13"/>
      <c r="E20" s="6"/>
      <c r="G20" s="46"/>
      <c r="H20" s="55"/>
      <c r="I20" s="15"/>
      <c r="J20" s="46"/>
      <c r="K20" s="46"/>
      <c r="L20" s="46"/>
      <c r="M20" s="6"/>
      <c r="N20" s="46"/>
      <c r="O20" s="46"/>
      <c r="P20" s="46"/>
      <c r="Q20" s="6"/>
      <c r="R20" s="46"/>
      <c r="S20" s="46"/>
      <c r="T20" s="46"/>
      <c r="U20" s="33">
        <f t="shared" si="2"/>
        <v>0</v>
      </c>
      <c r="V20" s="6"/>
      <c r="W20" s="46"/>
      <c r="X20" s="46"/>
      <c r="Y20" s="46"/>
      <c r="Z20" s="43">
        <f t="shared" si="3"/>
        <v>0</v>
      </c>
      <c r="AT20" s="15"/>
      <c r="AW20" s="33"/>
    </row>
    <row r="21" spans="1:49" x14ac:dyDescent="0.25">
      <c r="B21" s="13"/>
      <c r="E21" s="6"/>
      <c r="G21" s="46"/>
      <c r="H21" s="55"/>
      <c r="I21" s="15"/>
      <c r="J21" s="46"/>
      <c r="K21" s="46"/>
      <c r="L21" s="46"/>
      <c r="M21" s="6"/>
      <c r="N21" s="46"/>
      <c r="O21" s="46"/>
      <c r="P21" s="46"/>
      <c r="Q21" s="6"/>
      <c r="R21" s="46"/>
      <c r="S21" s="46"/>
      <c r="T21" s="46"/>
      <c r="U21" s="33">
        <f t="shared" si="2"/>
        <v>0</v>
      </c>
      <c r="V21" s="6"/>
      <c r="W21" s="46"/>
      <c r="X21" s="46"/>
      <c r="Y21" s="46"/>
      <c r="Z21" s="43">
        <f t="shared" ref="Z21" si="4">SUM(V21:Y21)</f>
        <v>0</v>
      </c>
      <c r="AT21" s="15"/>
      <c r="AW21" s="33"/>
    </row>
    <row r="22" spans="1:49" x14ac:dyDescent="0.25">
      <c r="B22" s="13"/>
      <c r="E22" s="6"/>
      <c r="G22" s="46"/>
      <c r="H22" s="55"/>
      <c r="I22" s="15"/>
      <c r="J22" s="46"/>
      <c r="K22" s="46"/>
      <c r="L22" s="46"/>
      <c r="M22" s="6"/>
      <c r="N22" s="46"/>
      <c r="O22" s="46"/>
      <c r="P22" s="46"/>
      <c r="Q22" s="6"/>
      <c r="R22" s="46"/>
      <c r="S22" s="46"/>
      <c r="T22" s="46"/>
      <c r="V22" s="6"/>
      <c r="W22" s="46"/>
      <c r="X22" s="46"/>
      <c r="Y22" s="46"/>
      <c r="Z22" s="43"/>
      <c r="AT22" s="15"/>
      <c r="AW22" s="33"/>
    </row>
    <row r="23" spans="1:49" x14ac:dyDescent="0.25">
      <c r="C23" s="16" t="s">
        <v>21</v>
      </c>
      <c r="D23" s="17">
        <f>AVERAGE(D14:D17)</f>
        <v>13.475000000000001</v>
      </c>
      <c r="E23" s="16"/>
      <c r="F23" s="18"/>
      <c r="G23" s="18"/>
      <c r="H23" s="36"/>
      <c r="I23" s="56"/>
      <c r="J23" s="18"/>
      <c r="K23" s="18"/>
      <c r="L23" s="18"/>
      <c r="M23" s="16"/>
      <c r="N23" s="18"/>
      <c r="O23" s="18"/>
      <c r="P23" s="18"/>
      <c r="Q23" s="16"/>
      <c r="R23" s="18"/>
      <c r="S23" s="18"/>
      <c r="T23" s="18"/>
      <c r="U23" s="18"/>
      <c r="V23" s="16"/>
      <c r="W23" s="18"/>
      <c r="X23" s="18"/>
      <c r="Y23" s="18"/>
      <c r="Z23" s="36">
        <f>AVERAGE(Z14:Z18)</f>
        <v>16.2</v>
      </c>
      <c r="AT23" s="15"/>
      <c r="AW23" s="33"/>
    </row>
    <row r="24" spans="1:49" s="59" customFormat="1" x14ac:dyDescent="0.25">
      <c r="C24" s="63" t="s">
        <v>12</v>
      </c>
      <c r="D24" s="60"/>
      <c r="E24" s="63"/>
      <c r="F24" s="60"/>
      <c r="G24" s="60"/>
      <c r="H24" s="61"/>
      <c r="I24" s="79"/>
      <c r="J24" s="60"/>
      <c r="K24" s="60"/>
      <c r="L24" s="60"/>
      <c r="M24" s="63"/>
      <c r="N24" s="60"/>
      <c r="O24" s="60"/>
      <c r="P24" s="60"/>
      <c r="Q24" s="63"/>
      <c r="R24" s="60"/>
      <c r="S24" s="60"/>
      <c r="T24" s="60"/>
      <c r="U24" s="61">
        <f>SUM(U15:U21)</f>
        <v>17</v>
      </c>
      <c r="V24" s="60"/>
      <c r="W24" s="60"/>
      <c r="X24" s="60"/>
      <c r="Y24" s="60"/>
      <c r="Z24" s="61">
        <f>SUM(Z14:Z21)</f>
        <v>81</v>
      </c>
    </row>
    <row r="25" spans="1:49" x14ac:dyDescent="0.25">
      <c r="A25" s="15"/>
      <c r="B25" s="15"/>
      <c r="C25" s="11" t="s">
        <v>31</v>
      </c>
      <c r="D25" s="15"/>
      <c r="E25" s="6"/>
      <c r="F25" s="15"/>
      <c r="G25" s="15"/>
      <c r="H25" s="43"/>
      <c r="I25" s="15"/>
      <c r="J25" s="15"/>
      <c r="K25" s="15"/>
      <c r="L25" s="15"/>
      <c r="M25" s="6"/>
      <c r="N25" s="15"/>
      <c r="O25" s="15"/>
      <c r="P25" s="15"/>
      <c r="Q25" s="6"/>
      <c r="R25" s="15"/>
      <c r="S25" s="15"/>
      <c r="T25" s="15"/>
      <c r="U25" s="43"/>
      <c r="V25" s="6"/>
      <c r="W25" s="15"/>
      <c r="X25" s="15"/>
      <c r="Y25" s="15"/>
      <c r="Z25" s="43"/>
      <c r="AA25" s="15"/>
      <c r="AT25" s="15"/>
      <c r="AW25" s="33"/>
    </row>
    <row r="26" spans="1:49" x14ac:dyDescent="0.25">
      <c r="B26" s="13">
        <v>41668</v>
      </c>
      <c r="C26" s="6" t="s">
        <v>199</v>
      </c>
      <c r="D26" s="33">
        <f>AVERAGE(10,10,10,10,12,12,10,10,8,8,15,10,10,8,8,10,10,6,10,12,12)</f>
        <v>10.047619047619047</v>
      </c>
      <c r="E26" s="6"/>
      <c r="H26" s="55"/>
      <c r="I26" s="15"/>
      <c r="J26" s="46"/>
      <c r="K26" s="46"/>
      <c r="L26" s="46"/>
      <c r="M26" s="6"/>
      <c r="N26" s="46"/>
      <c r="O26" s="46"/>
      <c r="P26" s="46"/>
      <c r="Q26" s="6"/>
      <c r="R26" s="46"/>
      <c r="S26" s="46"/>
      <c r="T26" s="46"/>
      <c r="U26" s="33">
        <f t="shared" ref="U26:U32" si="5">SUM(Q26:T26)</f>
        <v>0</v>
      </c>
      <c r="V26" s="6">
        <v>7</v>
      </c>
      <c r="W26" s="46">
        <v>3</v>
      </c>
      <c r="X26" s="46">
        <v>10</v>
      </c>
      <c r="Y26" s="46">
        <v>0</v>
      </c>
      <c r="Z26" s="43">
        <f t="shared" ref="Z26:Z32" si="6">SUM(V26:Y26)</f>
        <v>20</v>
      </c>
      <c r="AT26" s="15"/>
      <c r="AW26" s="33"/>
    </row>
    <row r="27" spans="1:49" x14ac:dyDescent="0.25">
      <c r="B27" s="13">
        <v>41668</v>
      </c>
      <c r="C27" s="6" t="s">
        <v>200</v>
      </c>
      <c r="D27" s="33">
        <f>AVERAGE(10,12,8,10,10,15,15,20,20,10,10,10,10,22,12,10,15,15,10,10)</f>
        <v>12.7</v>
      </c>
      <c r="E27" s="6"/>
      <c r="H27" s="55"/>
      <c r="I27" s="15"/>
      <c r="J27" s="46"/>
      <c r="K27" s="46"/>
      <c r="L27" s="46"/>
      <c r="M27" s="6"/>
      <c r="N27" s="46"/>
      <c r="O27" s="46"/>
      <c r="P27" s="46"/>
      <c r="Q27" s="6"/>
      <c r="R27" s="46"/>
      <c r="S27" s="46"/>
      <c r="T27" s="46"/>
      <c r="U27" s="33">
        <f t="shared" si="5"/>
        <v>0</v>
      </c>
      <c r="V27" s="6">
        <v>2</v>
      </c>
      <c r="W27" s="46">
        <v>2</v>
      </c>
      <c r="X27" s="46">
        <v>12</v>
      </c>
      <c r="Y27" s="46">
        <v>0</v>
      </c>
      <c r="Z27" s="43">
        <f t="shared" si="6"/>
        <v>16</v>
      </c>
      <c r="AT27" s="15"/>
      <c r="AW27" s="33"/>
    </row>
    <row r="28" spans="1:49" x14ac:dyDescent="0.25">
      <c r="B28" s="13">
        <v>41668</v>
      </c>
      <c r="C28" s="6" t="s">
        <v>201</v>
      </c>
      <c r="D28" s="33">
        <f>AVERAGE(10,10,15,22,22,15,12,15,15,10,18,15,12,10,25,25,12,12,15,15)</f>
        <v>15.25</v>
      </c>
      <c r="E28" s="6"/>
      <c r="H28" s="55"/>
      <c r="I28" s="15"/>
      <c r="J28" s="46"/>
      <c r="K28" s="46"/>
      <c r="L28" s="46"/>
      <c r="M28" s="6"/>
      <c r="N28" s="46"/>
      <c r="O28" s="46"/>
      <c r="P28" s="46"/>
      <c r="Q28" s="6"/>
      <c r="R28" s="46"/>
      <c r="S28" s="46"/>
      <c r="T28" s="46"/>
      <c r="U28" s="33">
        <f t="shared" si="5"/>
        <v>0</v>
      </c>
      <c r="V28" s="6">
        <v>0</v>
      </c>
      <c r="W28" s="46">
        <v>7</v>
      </c>
      <c r="X28" s="46">
        <v>8</v>
      </c>
      <c r="Y28" s="46">
        <v>0</v>
      </c>
      <c r="Z28" s="43">
        <f t="shared" si="6"/>
        <v>15</v>
      </c>
      <c r="AT28" s="15"/>
      <c r="AW28" s="33"/>
    </row>
    <row r="29" spans="1:49" x14ac:dyDescent="0.25">
      <c r="B29" s="13">
        <v>41668</v>
      </c>
      <c r="C29" s="6" t="s">
        <v>202</v>
      </c>
      <c r="D29" s="33">
        <f>AVERAGE(15,12,20,25,25,10,10,18,18,25,25,25,12,15,18,15,10,15,15,10)</f>
        <v>16.899999999999999</v>
      </c>
      <c r="E29" s="6"/>
      <c r="H29" s="43"/>
      <c r="I29" s="15"/>
      <c r="M29" s="6"/>
      <c r="N29" s="46"/>
      <c r="O29" s="46"/>
      <c r="P29" s="46"/>
      <c r="Q29" s="6"/>
      <c r="R29" s="46"/>
      <c r="S29" s="46"/>
      <c r="T29" s="46"/>
      <c r="U29" s="33">
        <f t="shared" si="5"/>
        <v>0</v>
      </c>
      <c r="V29" s="6">
        <v>1</v>
      </c>
      <c r="W29" s="46">
        <v>6</v>
      </c>
      <c r="X29" s="46">
        <v>11</v>
      </c>
      <c r="Y29" s="46">
        <v>0</v>
      </c>
      <c r="Z29" s="43">
        <f t="shared" si="6"/>
        <v>18</v>
      </c>
      <c r="AT29" s="15"/>
      <c r="AW29" s="33"/>
    </row>
    <row r="30" spans="1:49" x14ac:dyDescent="0.25">
      <c r="B30" s="13">
        <v>41808</v>
      </c>
      <c r="C30" s="6" t="s">
        <v>210</v>
      </c>
      <c r="D30" s="33">
        <f>AVERAGE(15,15,20,30,30,20,25,15,20,15,25,30,20,18,20,8,12,5,10,28)</f>
        <v>19.05</v>
      </c>
      <c r="E30" s="54"/>
      <c r="F30" s="53"/>
      <c r="G30" s="53"/>
      <c r="H30" s="55"/>
      <c r="I30" s="46">
        <v>0</v>
      </c>
      <c r="J30" s="53">
        <v>1</v>
      </c>
      <c r="K30" s="53">
        <v>16</v>
      </c>
      <c r="L30" s="46">
        <v>0</v>
      </c>
      <c r="M30" s="54">
        <v>2</v>
      </c>
      <c r="N30" s="46">
        <v>1</v>
      </c>
      <c r="O30" s="46">
        <v>14</v>
      </c>
      <c r="P30" s="46">
        <v>0</v>
      </c>
      <c r="Q30" s="54">
        <v>2</v>
      </c>
      <c r="R30" s="46">
        <v>2</v>
      </c>
      <c r="S30" s="46">
        <v>13</v>
      </c>
      <c r="T30" s="46">
        <v>0</v>
      </c>
      <c r="U30" s="53">
        <f>SUM(Q30:T30)</f>
        <v>17</v>
      </c>
      <c r="V30" s="54">
        <v>1</v>
      </c>
      <c r="W30" s="46">
        <v>1</v>
      </c>
      <c r="X30" s="46">
        <v>13</v>
      </c>
      <c r="Y30" s="46">
        <v>0</v>
      </c>
      <c r="Z30" s="55">
        <f t="shared" si="6"/>
        <v>15</v>
      </c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W30" s="33"/>
    </row>
    <row r="31" spans="1:49" x14ac:dyDescent="0.25">
      <c r="B31" s="13">
        <v>41808</v>
      </c>
      <c r="C31" s="6" t="s">
        <v>211</v>
      </c>
      <c r="D31" s="33">
        <f>AVERAGE(12,10,20,20,45,45,18,20,10,18,18,20,10,15,8,12,14,18,15,15)</f>
        <v>18.149999999999999</v>
      </c>
      <c r="E31" s="6"/>
      <c r="H31" s="43"/>
      <c r="I31" s="15">
        <v>0</v>
      </c>
      <c r="J31" s="15">
        <v>2</v>
      </c>
      <c r="K31" s="15">
        <v>17</v>
      </c>
      <c r="L31" s="46">
        <v>0</v>
      </c>
      <c r="M31" s="6">
        <v>3</v>
      </c>
      <c r="N31" s="46">
        <v>4</v>
      </c>
      <c r="O31" s="46">
        <v>12</v>
      </c>
      <c r="P31" s="46">
        <v>0</v>
      </c>
      <c r="Q31" s="6">
        <v>5</v>
      </c>
      <c r="R31" s="46">
        <v>2</v>
      </c>
      <c r="S31" s="46">
        <v>12</v>
      </c>
      <c r="T31" s="46">
        <v>0</v>
      </c>
      <c r="U31" s="33">
        <f t="shared" si="5"/>
        <v>19</v>
      </c>
      <c r="V31" s="6">
        <v>6</v>
      </c>
      <c r="W31" s="46">
        <v>1</v>
      </c>
      <c r="X31" s="46">
        <v>12</v>
      </c>
      <c r="Y31" s="46">
        <v>0</v>
      </c>
      <c r="Z31" s="43">
        <f t="shared" si="6"/>
        <v>19</v>
      </c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W31" s="33"/>
    </row>
    <row r="32" spans="1:49" x14ac:dyDescent="0.25">
      <c r="B32" s="13">
        <v>41808</v>
      </c>
      <c r="C32" s="6" t="s">
        <v>212</v>
      </c>
      <c r="D32" s="33">
        <f>AVERAGE(24,24,24,40,20,18,15,20,20,25,18,12,12,10,18,15,12,5,14,25)</f>
        <v>18.55</v>
      </c>
      <c r="E32" s="6"/>
      <c r="H32" s="43"/>
      <c r="I32" s="15">
        <v>0</v>
      </c>
      <c r="J32" s="15">
        <v>1</v>
      </c>
      <c r="K32" s="15">
        <v>14</v>
      </c>
      <c r="L32" s="46">
        <v>0</v>
      </c>
      <c r="M32" s="6">
        <v>1</v>
      </c>
      <c r="N32" s="46">
        <v>1</v>
      </c>
      <c r="O32" s="46">
        <v>13</v>
      </c>
      <c r="P32" s="46">
        <v>0</v>
      </c>
      <c r="Q32" s="6">
        <v>2</v>
      </c>
      <c r="R32" s="46">
        <v>5</v>
      </c>
      <c r="S32" s="46">
        <v>9</v>
      </c>
      <c r="T32" s="46">
        <v>0</v>
      </c>
      <c r="U32" s="33">
        <f t="shared" si="5"/>
        <v>16</v>
      </c>
      <c r="V32" s="6">
        <v>4</v>
      </c>
      <c r="W32" s="46">
        <v>1</v>
      </c>
      <c r="X32" s="46">
        <v>10</v>
      </c>
      <c r="Y32" s="46">
        <v>0</v>
      </c>
      <c r="Z32" s="43">
        <f t="shared" si="6"/>
        <v>15</v>
      </c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W32" s="33"/>
    </row>
    <row r="33" spans="1:49" x14ac:dyDescent="0.25">
      <c r="C33" s="16" t="s">
        <v>21</v>
      </c>
      <c r="D33" s="17">
        <f>AVERAGE(D26:D32)</f>
        <v>15.806802721088435</v>
      </c>
      <c r="E33" s="16"/>
      <c r="F33" s="18"/>
      <c r="G33" s="18"/>
      <c r="H33" s="36"/>
      <c r="I33" s="56"/>
      <c r="J33" s="18"/>
      <c r="K33" s="18"/>
      <c r="L33" s="18"/>
      <c r="M33" s="16"/>
      <c r="N33" s="18"/>
      <c r="O33" s="18"/>
      <c r="P33" s="18"/>
      <c r="Q33" s="16"/>
      <c r="R33" s="18"/>
      <c r="S33" s="18"/>
      <c r="T33" s="18"/>
      <c r="U33" s="18">
        <f>AVERAGE(U30:U32)</f>
        <v>17.333333333333332</v>
      </c>
      <c r="V33" s="16"/>
      <c r="W33" s="18"/>
      <c r="X33" s="18"/>
      <c r="Y33" s="18"/>
      <c r="Z33" s="36">
        <f>AVERAGE(Z26:Z32)</f>
        <v>16.857142857142858</v>
      </c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W33" s="33"/>
    </row>
    <row r="34" spans="1:49" s="59" customFormat="1" x14ac:dyDescent="0.25">
      <c r="C34" s="63" t="s">
        <v>12</v>
      </c>
      <c r="D34" s="60"/>
      <c r="E34" s="63"/>
      <c r="F34" s="60"/>
      <c r="G34" s="60"/>
      <c r="H34" s="61"/>
      <c r="I34" s="79"/>
      <c r="J34" s="60"/>
      <c r="K34" s="60"/>
      <c r="L34" s="60"/>
      <c r="M34" s="63"/>
      <c r="N34" s="60"/>
      <c r="O34" s="60"/>
      <c r="P34" s="60"/>
      <c r="Q34" s="63"/>
      <c r="R34" s="60"/>
      <c r="S34" s="60"/>
      <c r="T34" s="60"/>
      <c r="U34" s="61">
        <f>SUM(U26:U32)</f>
        <v>52</v>
      </c>
      <c r="V34" s="60"/>
      <c r="W34" s="60"/>
      <c r="X34" s="60"/>
      <c r="Y34" s="60"/>
      <c r="Z34" s="61">
        <f>SUM(Z26:Z32)</f>
        <v>118</v>
      </c>
    </row>
    <row r="35" spans="1:49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AW35" s="33"/>
    </row>
    <row r="36" spans="1:49" x14ac:dyDescent="0.25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AW36" s="33"/>
    </row>
    <row r="37" spans="1:49" x14ac:dyDescent="0.2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AW37" s="33"/>
    </row>
    <row r="38" spans="1:49" x14ac:dyDescent="0.2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AW38" s="33"/>
    </row>
    <row r="39" spans="1:49" x14ac:dyDescent="0.2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AW39" s="33"/>
    </row>
    <row r="40" spans="1:49" x14ac:dyDescent="0.25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AW40" s="33"/>
    </row>
    <row r="41" spans="1:49" x14ac:dyDescent="0.25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AW41" s="33"/>
    </row>
    <row r="42" spans="1:49" x14ac:dyDescent="0.2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AW42" s="33"/>
    </row>
    <row r="43" spans="1:49" x14ac:dyDescent="0.25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AW43" s="33"/>
    </row>
    <row r="44" spans="1:49" s="59" customFormat="1" x14ac:dyDescent="0.25"/>
    <row r="45" spans="1:49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AW45" s="33"/>
    </row>
    <row r="46" spans="1:49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AW46" s="33"/>
    </row>
    <row r="47" spans="1:49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AW47" s="33"/>
    </row>
    <row r="48" spans="1:49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AW48" s="33"/>
    </row>
    <row r="49" spans="1:49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AW49" s="33"/>
    </row>
    <row r="50" spans="1:49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AW50" s="33"/>
    </row>
    <row r="51" spans="1:49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AW51" s="33"/>
    </row>
    <row r="52" spans="1:49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AW52" s="33"/>
    </row>
    <row r="53" spans="1:49" s="59" customFormat="1" x14ac:dyDescent="0.25"/>
    <row r="54" spans="1:49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AW54" s="33"/>
    </row>
    <row r="55" spans="1:49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AW55" s="33"/>
    </row>
    <row r="56" spans="1:49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AW56" s="33"/>
    </row>
    <row r="57" spans="1:49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AW57" s="33"/>
    </row>
    <row r="58" spans="1:49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AW58" s="33"/>
    </row>
    <row r="59" spans="1:49" s="59" customFormat="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spans="1:49" x14ac:dyDescent="0.25">
      <c r="A60" s="15"/>
      <c r="C60" s="33"/>
      <c r="T60" s="15"/>
      <c r="AW60" s="33"/>
    </row>
    <row r="61" spans="1:49" x14ac:dyDescent="0.25">
      <c r="A61" s="15"/>
      <c r="C61" s="33"/>
      <c r="T61" s="15"/>
      <c r="AW61" s="33"/>
    </row>
    <row r="62" spans="1:49" s="59" customFormat="1" x14ac:dyDescent="0.25"/>
    <row r="63" spans="1:49" x14ac:dyDescent="0.25">
      <c r="A63" s="15"/>
      <c r="C63" s="33"/>
      <c r="T63" s="15"/>
      <c r="AW63" s="33"/>
    </row>
    <row r="64" spans="1:49" x14ac:dyDescent="0.25">
      <c r="A64" s="15"/>
      <c r="C64" s="33"/>
      <c r="T64" s="15"/>
      <c r="AW64" s="33"/>
    </row>
    <row r="65" spans="1:49" x14ac:dyDescent="0.25">
      <c r="A65" s="15"/>
      <c r="C65" s="33"/>
      <c r="T65" s="15"/>
      <c r="AW65" s="33"/>
    </row>
    <row r="66" spans="1:49" x14ac:dyDescent="0.25">
      <c r="A66" s="15"/>
      <c r="C66" s="33"/>
      <c r="T66" s="15"/>
      <c r="AW66" s="33"/>
    </row>
    <row r="67" spans="1:49" x14ac:dyDescent="0.25">
      <c r="A67" s="15"/>
      <c r="C67" s="33"/>
      <c r="T67" s="15"/>
      <c r="AW67" s="33"/>
    </row>
    <row r="68" spans="1:49" x14ac:dyDescent="0.25">
      <c r="A68" s="15"/>
      <c r="C68" s="33"/>
      <c r="T68" s="15"/>
      <c r="AW68" s="33"/>
    </row>
    <row r="69" spans="1:49" x14ac:dyDescent="0.25">
      <c r="A69" s="15"/>
      <c r="C69" s="33"/>
      <c r="T69" s="15"/>
      <c r="AW69" s="33"/>
    </row>
    <row r="70" spans="1:49" x14ac:dyDescent="0.25">
      <c r="A70" s="15"/>
      <c r="C70" s="33"/>
      <c r="T70" s="15"/>
      <c r="AW70" s="33"/>
    </row>
    <row r="71" spans="1:49" s="59" customFormat="1" x14ac:dyDescent="0.25"/>
    <row r="72" spans="1:49" x14ac:dyDescent="0.25">
      <c r="A72" s="15"/>
      <c r="C72" s="33"/>
      <c r="T72" s="15"/>
      <c r="AW72" s="33"/>
    </row>
    <row r="73" spans="1:49" x14ac:dyDescent="0.25">
      <c r="A73" s="15"/>
      <c r="C73" s="33"/>
      <c r="T73" s="15"/>
      <c r="AW73" s="33"/>
    </row>
    <row r="74" spans="1:49" x14ac:dyDescent="0.25">
      <c r="C74" s="33"/>
      <c r="T74" s="15"/>
      <c r="AW74" s="33"/>
    </row>
    <row r="75" spans="1:49" x14ac:dyDescent="0.25">
      <c r="C75" s="33"/>
      <c r="T75" s="15"/>
      <c r="AW75" s="33"/>
    </row>
    <row r="76" spans="1:49" x14ac:dyDescent="0.25">
      <c r="C76" s="33"/>
      <c r="T76" s="15"/>
      <c r="AW76" s="33"/>
    </row>
    <row r="77" spans="1:49" x14ac:dyDescent="0.25">
      <c r="C77" s="33"/>
      <c r="T77" s="15"/>
      <c r="AW77" s="33"/>
    </row>
    <row r="78" spans="1:49" x14ac:dyDescent="0.25">
      <c r="C78" s="33"/>
      <c r="T78" s="15"/>
      <c r="AW78" s="33"/>
    </row>
    <row r="79" spans="1:49" x14ac:dyDescent="0.25">
      <c r="C79" s="33"/>
      <c r="T79" s="15"/>
      <c r="AW79" s="33"/>
    </row>
    <row r="80" spans="1:49" x14ac:dyDescent="0.25">
      <c r="C80" s="33"/>
      <c r="T80" s="15"/>
      <c r="AW80" s="33"/>
    </row>
    <row r="81" spans="3:49" x14ac:dyDescent="0.25">
      <c r="C81" s="33"/>
      <c r="T81" s="15"/>
      <c r="AW81" s="33"/>
    </row>
    <row r="82" spans="3:49" x14ac:dyDescent="0.25">
      <c r="C82" s="33"/>
      <c r="T82" s="15"/>
      <c r="AW82" s="33"/>
    </row>
    <row r="83" spans="3:49" x14ac:dyDescent="0.25">
      <c r="C83" s="33"/>
      <c r="T83" s="15"/>
      <c r="AW83" s="33"/>
    </row>
    <row r="84" spans="3:49" s="59" customFormat="1" x14ac:dyDescent="0.25"/>
    <row r="85" spans="3:49" x14ac:dyDescent="0.25">
      <c r="C85" s="33"/>
      <c r="T85" s="15"/>
      <c r="AW85" s="33"/>
    </row>
    <row r="86" spans="3:49" x14ac:dyDescent="0.25">
      <c r="C86" s="33"/>
      <c r="T86" s="15"/>
      <c r="AW86" s="33"/>
    </row>
    <row r="87" spans="3:49" x14ac:dyDescent="0.25">
      <c r="C87" s="33"/>
      <c r="T87" s="15"/>
      <c r="AW87" s="33"/>
    </row>
    <row r="88" spans="3:49" x14ac:dyDescent="0.25">
      <c r="C88" s="33"/>
      <c r="T88" s="15"/>
      <c r="AW88" s="33"/>
    </row>
    <row r="89" spans="3:49" x14ac:dyDescent="0.25">
      <c r="C89" s="33"/>
      <c r="T89" s="15"/>
      <c r="AW89" s="33"/>
    </row>
    <row r="90" spans="3:49" x14ac:dyDescent="0.25">
      <c r="C90" s="33"/>
      <c r="T90" s="15"/>
      <c r="AW90" s="33"/>
    </row>
    <row r="91" spans="3:49" x14ac:dyDescent="0.25">
      <c r="C91" s="33"/>
      <c r="T91" s="15"/>
      <c r="AW91" s="33"/>
    </row>
    <row r="92" spans="3:49" x14ac:dyDescent="0.25">
      <c r="C92" s="33"/>
      <c r="T92" s="15"/>
      <c r="AW92" s="33"/>
    </row>
    <row r="93" spans="3:49" s="59" customFormat="1" x14ac:dyDescent="0.25"/>
    <row r="94" spans="3:49" x14ac:dyDescent="0.25">
      <c r="C94" s="33"/>
      <c r="T94" s="15"/>
      <c r="AW94" s="33"/>
    </row>
    <row r="95" spans="3:49" x14ac:dyDescent="0.25">
      <c r="C95" s="33"/>
      <c r="T95" s="15"/>
      <c r="AW95" s="33"/>
    </row>
    <row r="96" spans="3:49" x14ac:dyDescent="0.25">
      <c r="C96" s="33"/>
      <c r="T96" s="15"/>
      <c r="AW96" s="33"/>
    </row>
    <row r="97" spans="3:49" x14ac:dyDescent="0.25">
      <c r="C97" s="33"/>
      <c r="T97" s="15"/>
      <c r="AW97" s="33"/>
    </row>
    <row r="98" spans="3:49" x14ac:dyDescent="0.25">
      <c r="C98" s="33"/>
      <c r="T98" s="15"/>
      <c r="AW98" s="33"/>
    </row>
    <row r="99" spans="3:49" x14ac:dyDescent="0.25">
      <c r="C99" s="33"/>
      <c r="T99" s="15"/>
      <c r="AW99" s="33"/>
    </row>
    <row r="100" spans="3:49" x14ac:dyDescent="0.25">
      <c r="C100" s="33"/>
      <c r="T100" s="15"/>
      <c r="AW100" s="33"/>
    </row>
    <row r="101" spans="3:49" x14ac:dyDescent="0.25">
      <c r="C101" s="33"/>
      <c r="T101" s="15"/>
      <c r="AW101" s="33"/>
    </row>
    <row r="102" spans="3:49" s="59" customFormat="1" x14ac:dyDescent="0.25"/>
    <row r="103" spans="3:49" x14ac:dyDescent="0.25">
      <c r="C103" s="33"/>
      <c r="T103" s="15"/>
      <c r="AW103" s="33"/>
    </row>
    <row r="104" spans="3:49" x14ac:dyDescent="0.25">
      <c r="C104" s="33"/>
      <c r="T104" s="15"/>
      <c r="AW104" s="33"/>
    </row>
    <row r="105" spans="3:49" x14ac:dyDescent="0.25">
      <c r="C105" s="33"/>
      <c r="T105" s="15"/>
      <c r="AW105" s="33"/>
    </row>
    <row r="106" spans="3:49" x14ac:dyDescent="0.25">
      <c r="C106" s="33"/>
      <c r="T106" s="15"/>
      <c r="AW106" s="33"/>
    </row>
    <row r="107" spans="3:49" x14ac:dyDescent="0.25">
      <c r="C107" s="33"/>
      <c r="T107" s="15"/>
      <c r="AW107" s="33"/>
    </row>
    <row r="108" spans="3:49" x14ac:dyDescent="0.25">
      <c r="C108" s="33"/>
      <c r="T108" s="15"/>
      <c r="AW108" s="33"/>
    </row>
    <row r="109" spans="3:49" x14ac:dyDescent="0.25">
      <c r="C109" s="33"/>
      <c r="T109" s="15"/>
      <c r="AW109" s="33"/>
    </row>
    <row r="110" spans="3:49" x14ac:dyDescent="0.25">
      <c r="C110" s="33"/>
      <c r="T110" s="15"/>
      <c r="AW110" s="33"/>
    </row>
    <row r="111" spans="3:49" s="59" customFormat="1" x14ac:dyDescent="0.25"/>
    <row r="112" spans="3:49" x14ac:dyDescent="0.25">
      <c r="C112" s="33"/>
      <c r="T112" s="15"/>
      <c r="AW112" s="33"/>
    </row>
    <row r="113" spans="3:49" x14ac:dyDescent="0.25">
      <c r="C113" s="33"/>
      <c r="T113" s="15"/>
      <c r="AW113" s="33"/>
    </row>
    <row r="114" spans="3:49" x14ac:dyDescent="0.25">
      <c r="C114" s="33"/>
      <c r="T114" s="15"/>
      <c r="AW114" s="33"/>
    </row>
    <row r="115" spans="3:49" x14ac:dyDescent="0.25">
      <c r="C115" s="33"/>
      <c r="T115" s="15"/>
      <c r="AW115" s="33"/>
    </row>
    <row r="116" spans="3:49" x14ac:dyDescent="0.25">
      <c r="C116" s="33"/>
      <c r="T116" s="15"/>
      <c r="AW116" s="33"/>
    </row>
    <row r="117" spans="3:49" x14ac:dyDescent="0.25">
      <c r="C117" s="33"/>
      <c r="T117" s="15"/>
      <c r="AW117" s="33"/>
    </row>
    <row r="118" spans="3:49" x14ac:dyDescent="0.25">
      <c r="C118" s="33"/>
      <c r="T118" s="15"/>
      <c r="AW118" s="33"/>
    </row>
    <row r="119" spans="3:49" s="59" customFormat="1" x14ac:dyDescent="0.25"/>
    <row r="120" spans="3:49" x14ac:dyDescent="0.25">
      <c r="C120" s="33"/>
      <c r="T120" s="15"/>
      <c r="AW120" s="33"/>
    </row>
    <row r="121" spans="3:49" x14ac:dyDescent="0.25">
      <c r="C121" s="33"/>
      <c r="T121" s="15"/>
      <c r="AW121" s="33"/>
    </row>
    <row r="122" spans="3:49" x14ac:dyDescent="0.25">
      <c r="C122" s="33"/>
      <c r="T122" s="15"/>
      <c r="AW122" s="33"/>
    </row>
    <row r="123" spans="3:49" x14ac:dyDescent="0.25">
      <c r="C123" s="33"/>
      <c r="T123" s="15"/>
      <c r="AW123" s="33"/>
    </row>
    <row r="124" spans="3:49" x14ac:dyDescent="0.25">
      <c r="C124" s="33"/>
      <c r="T124" s="15"/>
      <c r="AW124" s="33"/>
    </row>
    <row r="125" spans="3:49" x14ac:dyDescent="0.25">
      <c r="C125" s="33"/>
      <c r="T125" s="15"/>
      <c r="AW125" s="33"/>
    </row>
    <row r="126" spans="3:49" x14ac:dyDescent="0.25">
      <c r="C126" s="33"/>
      <c r="T126" s="15"/>
      <c r="AW126" s="33"/>
    </row>
    <row r="127" spans="3:49" x14ac:dyDescent="0.25">
      <c r="C127" s="33"/>
      <c r="T127" s="15"/>
      <c r="AW127" s="33"/>
    </row>
    <row r="128" spans="3:49" x14ac:dyDescent="0.25">
      <c r="C128" s="33"/>
      <c r="T128" s="15"/>
      <c r="AW128" s="33"/>
    </row>
    <row r="129" spans="3:49" x14ac:dyDescent="0.25">
      <c r="C129" s="33"/>
      <c r="T129" s="15"/>
      <c r="AW129" s="33"/>
    </row>
    <row r="130" spans="3:49" x14ac:dyDescent="0.25">
      <c r="C130" s="33"/>
      <c r="T130" s="15"/>
      <c r="AW130" s="33"/>
    </row>
    <row r="131" spans="3:49" x14ac:dyDescent="0.25">
      <c r="C131" s="33"/>
      <c r="T131" s="15"/>
      <c r="AW131" s="33"/>
    </row>
    <row r="132" spans="3:49" x14ac:dyDescent="0.25">
      <c r="C132" s="33"/>
      <c r="T132" s="15"/>
      <c r="AW132" s="33"/>
    </row>
    <row r="133" spans="3:49" x14ac:dyDescent="0.25">
      <c r="C133" s="33"/>
      <c r="T133" s="15"/>
      <c r="AW133" s="33"/>
    </row>
    <row r="134" spans="3:49" x14ac:dyDescent="0.25">
      <c r="C134" s="33"/>
      <c r="T134" s="15"/>
      <c r="AW134" s="33"/>
    </row>
    <row r="135" spans="3:49" x14ac:dyDescent="0.25">
      <c r="C135" s="33"/>
      <c r="T135" s="15"/>
      <c r="AW135" s="33"/>
    </row>
    <row r="136" spans="3:49" x14ac:dyDescent="0.25">
      <c r="C136" s="33"/>
      <c r="T136" s="15"/>
      <c r="AW136" s="33"/>
    </row>
    <row r="137" spans="3:49" x14ac:dyDescent="0.25">
      <c r="C137" s="33"/>
      <c r="T137" s="15"/>
      <c r="AW137" s="33"/>
    </row>
    <row r="138" spans="3:49" x14ac:dyDescent="0.25">
      <c r="C138" s="33"/>
      <c r="T138" s="15"/>
      <c r="AW138" s="33"/>
    </row>
    <row r="139" spans="3:49" x14ac:dyDescent="0.25">
      <c r="C139" s="33"/>
      <c r="T139" s="15"/>
      <c r="AW139" s="33"/>
    </row>
    <row r="140" spans="3:49" x14ac:dyDescent="0.25">
      <c r="C140" s="33"/>
      <c r="T140" s="15"/>
      <c r="AW140" s="33"/>
    </row>
    <row r="141" spans="3:49" x14ac:dyDescent="0.25">
      <c r="C141" s="33"/>
      <c r="T141" s="15"/>
      <c r="AW141" s="33"/>
    </row>
    <row r="142" spans="3:49" x14ac:dyDescent="0.25">
      <c r="C142" s="33"/>
      <c r="T142" s="15"/>
      <c r="AW142" s="33"/>
    </row>
    <row r="143" spans="3:49" x14ac:dyDescent="0.25">
      <c r="C143" s="33"/>
      <c r="T143" s="15"/>
      <c r="AW143" s="33"/>
    </row>
    <row r="144" spans="3:49" x14ac:dyDescent="0.25">
      <c r="C144" s="33"/>
      <c r="T144" s="15"/>
      <c r="AW144" s="33"/>
    </row>
    <row r="145" spans="3:49" x14ac:dyDescent="0.25">
      <c r="C145" s="33"/>
      <c r="T145" s="15"/>
      <c r="AW145" s="33"/>
    </row>
    <row r="146" spans="3:49" x14ac:dyDescent="0.25">
      <c r="C146" s="33"/>
      <c r="T146" s="15"/>
      <c r="AW146" s="33"/>
    </row>
    <row r="147" spans="3:49" x14ac:dyDescent="0.25">
      <c r="C147" s="33"/>
      <c r="T147" s="15"/>
      <c r="AW147" s="33"/>
    </row>
    <row r="148" spans="3:49" x14ac:dyDescent="0.25">
      <c r="C148" s="33"/>
      <c r="T148" s="15"/>
      <c r="AW148" s="33"/>
    </row>
    <row r="149" spans="3:49" x14ac:dyDescent="0.25">
      <c r="C149" s="33"/>
      <c r="T149" s="15"/>
      <c r="AW149" s="33"/>
    </row>
    <row r="150" spans="3:49" x14ac:dyDescent="0.25">
      <c r="C150" s="33"/>
      <c r="T150" s="15"/>
      <c r="AW150" s="33"/>
    </row>
    <row r="151" spans="3:49" x14ac:dyDescent="0.25">
      <c r="C151" s="33"/>
      <c r="T151" s="15"/>
      <c r="AW151" s="33"/>
    </row>
    <row r="152" spans="3:49" x14ac:dyDescent="0.25">
      <c r="C152" s="33"/>
      <c r="T152" s="15"/>
      <c r="AW152" s="33"/>
    </row>
    <row r="153" spans="3:49" x14ac:dyDescent="0.25">
      <c r="C153" s="33"/>
      <c r="T153" s="15"/>
      <c r="AW153" s="33"/>
    </row>
    <row r="154" spans="3:49" x14ac:dyDescent="0.25">
      <c r="C154" s="33"/>
      <c r="T154" s="15"/>
      <c r="AW154" s="33"/>
    </row>
    <row r="155" spans="3:49" x14ac:dyDescent="0.25">
      <c r="C155" s="33"/>
      <c r="T155" s="15"/>
      <c r="AW155" s="33"/>
    </row>
    <row r="156" spans="3:49" x14ac:dyDescent="0.25">
      <c r="C156" s="33"/>
      <c r="T156" s="15"/>
      <c r="AW156" s="33"/>
    </row>
    <row r="157" spans="3:49" x14ac:dyDescent="0.25">
      <c r="C157" s="33"/>
      <c r="T157" s="15"/>
      <c r="AW157" s="33"/>
    </row>
    <row r="158" spans="3:49" x14ac:dyDescent="0.25">
      <c r="C158" s="33"/>
      <c r="T158" s="15"/>
      <c r="AW158" s="33"/>
    </row>
    <row r="159" spans="3:49" x14ac:dyDescent="0.25">
      <c r="C159" s="33"/>
      <c r="T159" s="15"/>
      <c r="AW159" s="33"/>
    </row>
    <row r="160" spans="3:49" x14ac:dyDescent="0.25">
      <c r="C160" s="33"/>
      <c r="T160" s="15"/>
      <c r="AW160" s="33"/>
    </row>
    <row r="161" spans="3:49" x14ac:dyDescent="0.25">
      <c r="C161" s="33"/>
      <c r="T161" s="15"/>
      <c r="AW161" s="33"/>
    </row>
    <row r="162" spans="3:49" x14ac:dyDescent="0.25">
      <c r="C162" s="33"/>
      <c r="T162" s="15"/>
      <c r="AW162" s="33"/>
    </row>
    <row r="163" spans="3:49" x14ac:dyDescent="0.25">
      <c r="C163" s="33"/>
      <c r="T163" s="15"/>
      <c r="AW163" s="33"/>
    </row>
    <row r="164" spans="3:49" x14ac:dyDescent="0.25">
      <c r="C164" s="33"/>
      <c r="T164" s="15"/>
      <c r="AW164" s="33"/>
    </row>
    <row r="165" spans="3:49" x14ac:dyDescent="0.25">
      <c r="C165" s="33"/>
      <c r="T165" s="15"/>
      <c r="AW165" s="33"/>
    </row>
    <row r="166" spans="3:49" x14ac:dyDescent="0.25">
      <c r="C166" s="33"/>
      <c r="T166" s="15"/>
      <c r="AW166" s="33"/>
    </row>
    <row r="167" spans="3:49" x14ac:dyDescent="0.25">
      <c r="C167" s="33"/>
      <c r="T167" s="15"/>
      <c r="AW167" s="33"/>
    </row>
    <row r="168" spans="3:49" x14ac:dyDescent="0.25">
      <c r="C168" s="33"/>
      <c r="T168" s="15"/>
      <c r="AW168" s="33"/>
    </row>
    <row r="169" spans="3:49" x14ac:dyDescent="0.25">
      <c r="C169" s="33"/>
      <c r="T169" s="15"/>
      <c r="AW169" s="33"/>
    </row>
    <row r="170" spans="3:49" x14ac:dyDescent="0.25">
      <c r="C170" s="33"/>
      <c r="T170" s="15"/>
      <c r="AW170" s="33"/>
    </row>
    <row r="171" spans="3:49" x14ac:dyDescent="0.25">
      <c r="C171" s="33"/>
      <c r="T171" s="15"/>
      <c r="AW171" s="33"/>
    </row>
    <row r="172" spans="3:49" x14ac:dyDescent="0.25">
      <c r="C172" s="33"/>
      <c r="T172" s="15"/>
      <c r="AW172" s="33"/>
    </row>
    <row r="173" spans="3:49" x14ac:dyDescent="0.25">
      <c r="C173" s="33"/>
      <c r="T173" s="15"/>
      <c r="AW173" s="33"/>
    </row>
    <row r="174" spans="3:49" x14ac:dyDescent="0.25">
      <c r="C174" s="33"/>
      <c r="T174" s="15"/>
      <c r="AW174" s="33"/>
    </row>
    <row r="175" spans="3:49" x14ac:dyDescent="0.25">
      <c r="C175" s="33"/>
      <c r="T175" s="15"/>
      <c r="AW175" s="33"/>
    </row>
    <row r="176" spans="3:49" x14ac:dyDescent="0.25">
      <c r="C176" s="33"/>
      <c r="T176" s="15"/>
      <c r="AW176" s="33"/>
    </row>
    <row r="177" spans="3:49" x14ac:dyDescent="0.25">
      <c r="C177" s="33"/>
      <c r="T177" s="15"/>
      <c r="AW177" s="33"/>
    </row>
    <row r="178" spans="3:49" x14ac:dyDescent="0.25">
      <c r="C178" s="33"/>
      <c r="T178" s="15"/>
      <c r="AW178" s="33"/>
    </row>
    <row r="179" spans="3:49" x14ac:dyDescent="0.25">
      <c r="C179" s="33"/>
      <c r="T179" s="15"/>
      <c r="AW179" s="33"/>
    </row>
    <row r="180" spans="3:49" x14ac:dyDescent="0.25">
      <c r="C180" s="33"/>
      <c r="T180" s="15"/>
      <c r="AW180" s="33"/>
    </row>
    <row r="181" spans="3:49" x14ac:dyDescent="0.25">
      <c r="C181" s="33"/>
      <c r="T181" s="15"/>
      <c r="AW181" s="33"/>
    </row>
    <row r="182" spans="3:49" x14ac:dyDescent="0.25">
      <c r="C182" s="33"/>
      <c r="T182" s="15"/>
      <c r="AW182" s="33"/>
    </row>
    <row r="183" spans="3:49" x14ac:dyDescent="0.25">
      <c r="C183" s="33"/>
      <c r="T183" s="15"/>
      <c r="AW183" s="33"/>
    </row>
    <row r="184" spans="3:49" x14ac:dyDescent="0.25">
      <c r="C184" s="33"/>
      <c r="T184" s="15"/>
      <c r="AW184" s="33"/>
    </row>
    <row r="185" spans="3:49" x14ac:dyDescent="0.25">
      <c r="C185" s="33"/>
      <c r="T185" s="15"/>
      <c r="AW185" s="33"/>
    </row>
    <row r="186" spans="3:49" x14ac:dyDescent="0.25">
      <c r="C186" s="33"/>
      <c r="T186" s="15"/>
      <c r="AW186" s="33"/>
    </row>
    <row r="187" spans="3:49" x14ac:dyDescent="0.25">
      <c r="C187" s="33"/>
      <c r="T187" s="15"/>
      <c r="AW187" s="33"/>
    </row>
    <row r="188" spans="3:49" x14ac:dyDescent="0.25">
      <c r="C188" s="33"/>
      <c r="T188" s="15"/>
      <c r="AW188" s="33"/>
    </row>
    <row r="189" spans="3:49" x14ac:dyDescent="0.25">
      <c r="C189" s="33"/>
      <c r="T189" s="15"/>
      <c r="AW189" s="33"/>
    </row>
    <row r="190" spans="3:49" x14ac:dyDescent="0.25">
      <c r="C190" s="33"/>
      <c r="T190" s="15"/>
      <c r="AW190" s="33"/>
    </row>
    <row r="191" spans="3:49" x14ac:dyDescent="0.25">
      <c r="C191" s="33"/>
      <c r="T191" s="15"/>
      <c r="AW191" s="33"/>
    </row>
    <row r="192" spans="3:49" x14ac:dyDescent="0.25">
      <c r="C192" s="33"/>
      <c r="T192" s="15"/>
      <c r="AW192" s="33"/>
    </row>
    <row r="193" spans="3:49" x14ac:dyDescent="0.25">
      <c r="C193" s="33"/>
      <c r="T193" s="15"/>
      <c r="AW193" s="33"/>
    </row>
    <row r="194" spans="3:49" x14ac:dyDescent="0.25">
      <c r="C194" s="33"/>
      <c r="T194" s="15"/>
      <c r="AW194" s="33"/>
    </row>
    <row r="195" spans="3:49" x14ac:dyDescent="0.25">
      <c r="C195" s="33"/>
      <c r="T195" s="15"/>
      <c r="AW195" s="33"/>
    </row>
    <row r="196" spans="3:49" x14ac:dyDescent="0.25">
      <c r="C196" s="33"/>
      <c r="T196" s="15"/>
      <c r="AW196" s="33"/>
    </row>
    <row r="197" spans="3:49" x14ac:dyDescent="0.25">
      <c r="C197" s="33"/>
      <c r="T197" s="15"/>
      <c r="AW197" s="33"/>
    </row>
    <row r="198" spans="3:49" x14ac:dyDescent="0.25">
      <c r="C198" s="33"/>
      <c r="T198" s="15"/>
      <c r="AW198" s="33"/>
    </row>
    <row r="199" spans="3:49" x14ac:dyDescent="0.25">
      <c r="C199" s="33"/>
      <c r="T199" s="15"/>
      <c r="AW199" s="33"/>
    </row>
    <row r="200" spans="3:49" x14ac:dyDescent="0.25">
      <c r="C200" s="33"/>
      <c r="T200" s="15"/>
      <c r="AW200" s="33"/>
    </row>
    <row r="201" spans="3:49" x14ac:dyDescent="0.25">
      <c r="C201" s="33"/>
      <c r="T201" s="15"/>
      <c r="AW201" s="33"/>
    </row>
    <row r="202" spans="3:49" x14ac:dyDescent="0.25">
      <c r="C202" s="33"/>
      <c r="T202" s="15"/>
      <c r="AW202" s="33"/>
    </row>
    <row r="203" spans="3:49" x14ac:dyDescent="0.25">
      <c r="C203" s="33"/>
      <c r="T203" s="15"/>
      <c r="AW203" s="33"/>
    </row>
    <row r="204" spans="3:49" x14ac:dyDescent="0.25">
      <c r="C204" s="33"/>
      <c r="T204" s="15"/>
      <c r="AW204" s="33"/>
    </row>
    <row r="205" spans="3:49" x14ac:dyDescent="0.25">
      <c r="C205" s="33"/>
      <c r="T205" s="15"/>
      <c r="AW205" s="33"/>
    </row>
    <row r="206" spans="3:49" x14ac:dyDescent="0.25">
      <c r="C206" s="33"/>
      <c r="T206" s="15"/>
      <c r="AW206" s="33"/>
    </row>
    <row r="207" spans="3:49" x14ac:dyDescent="0.25">
      <c r="C207" s="33"/>
      <c r="T207" s="15"/>
      <c r="AW207" s="33"/>
    </row>
    <row r="208" spans="3:49" x14ac:dyDescent="0.25">
      <c r="C208" s="33"/>
      <c r="T208" s="15"/>
      <c r="AW208" s="33"/>
    </row>
    <row r="209" spans="3:49" x14ac:dyDescent="0.25">
      <c r="C209" s="33"/>
      <c r="T209" s="15"/>
      <c r="AW209" s="33"/>
    </row>
    <row r="210" spans="3:49" x14ac:dyDescent="0.25">
      <c r="C210" s="33"/>
      <c r="T210" s="15"/>
      <c r="AW210" s="33"/>
    </row>
    <row r="211" spans="3:49" x14ac:dyDescent="0.25">
      <c r="C211" s="33"/>
      <c r="T211" s="15"/>
      <c r="AW211" s="33"/>
    </row>
    <row r="212" spans="3:49" x14ac:dyDescent="0.25">
      <c r="C212" s="33"/>
      <c r="T212" s="15"/>
      <c r="AW212" s="33"/>
    </row>
    <row r="213" spans="3:49" x14ac:dyDescent="0.25">
      <c r="C213" s="33"/>
      <c r="T213" s="15"/>
      <c r="AW213" s="33"/>
    </row>
    <row r="214" spans="3:49" x14ac:dyDescent="0.25">
      <c r="C214" s="33"/>
      <c r="T214" s="15"/>
      <c r="AW214" s="33"/>
    </row>
    <row r="215" spans="3:49" x14ac:dyDescent="0.25">
      <c r="C215" s="33"/>
      <c r="T215" s="15"/>
      <c r="AW215" s="33"/>
    </row>
    <row r="216" spans="3:49" x14ac:dyDescent="0.25">
      <c r="C216" s="33"/>
      <c r="T216" s="15"/>
      <c r="AW216" s="33"/>
    </row>
    <row r="217" spans="3:49" x14ac:dyDescent="0.25">
      <c r="C217" s="33"/>
      <c r="T217" s="15"/>
      <c r="AW217" s="33"/>
    </row>
    <row r="218" spans="3:49" x14ac:dyDescent="0.25">
      <c r="C218" s="33"/>
      <c r="T218" s="15"/>
      <c r="AW218" s="33"/>
    </row>
    <row r="219" spans="3:49" x14ac:dyDescent="0.25">
      <c r="C219" s="33"/>
      <c r="T219" s="15"/>
      <c r="AW219" s="33"/>
    </row>
    <row r="220" spans="3:49" x14ac:dyDescent="0.25">
      <c r="C220" s="33"/>
      <c r="T220" s="15"/>
      <c r="AW220" s="33"/>
    </row>
    <row r="221" spans="3:49" x14ac:dyDescent="0.25">
      <c r="C221" s="33"/>
      <c r="T221" s="15"/>
      <c r="AW221" s="33"/>
    </row>
    <row r="222" spans="3:49" x14ac:dyDescent="0.25">
      <c r="C222" s="33"/>
      <c r="T222" s="15"/>
      <c r="AW222" s="33"/>
    </row>
    <row r="223" spans="3:49" x14ac:dyDescent="0.25">
      <c r="C223" s="33"/>
      <c r="T223" s="15"/>
      <c r="AW223" s="33"/>
    </row>
    <row r="224" spans="3:49" x14ac:dyDescent="0.25">
      <c r="C224" s="33"/>
      <c r="T224" s="15"/>
      <c r="AW224" s="33"/>
    </row>
    <row r="225" spans="3:49" x14ac:dyDescent="0.25">
      <c r="C225" s="33"/>
      <c r="T225" s="15"/>
      <c r="AW225" s="33"/>
    </row>
    <row r="226" spans="3:49" x14ac:dyDescent="0.25">
      <c r="C226" s="33"/>
      <c r="T226" s="15"/>
      <c r="AW226" s="33"/>
    </row>
    <row r="227" spans="3:49" x14ac:dyDescent="0.25">
      <c r="C227" s="33"/>
      <c r="T227" s="15"/>
      <c r="AW227" s="33"/>
    </row>
    <row r="228" spans="3:49" x14ac:dyDescent="0.25">
      <c r="C228" s="33"/>
      <c r="T228" s="15"/>
      <c r="AW228" s="33"/>
    </row>
    <row r="229" spans="3:49" x14ac:dyDescent="0.25">
      <c r="C229" s="33"/>
      <c r="T229" s="15"/>
      <c r="AW229" s="33"/>
    </row>
    <row r="230" spans="3:49" x14ac:dyDescent="0.25">
      <c r="C230" s="33"/>
      <c r="T230" s="15"/>
      <c r="AW230" s="33"/>
    </row>
    <row r="231" spans="3:49" x14ac:dyDescent="0.25">
      <c r="C231" s="33"/>
      <c r="T231" s="15"/>
      <c r="AW231" s="33"/>
    </row>
    <row r="232" spans="3:49" x14ac:dyDescent="0.25">
      <c r="C232" s="33"/>
      <c r="T232" s="15"/>
      <c r="AW232" s="33"/>
    </row>
    <row r="233" spans="3:49" x14ac:dyDescent="0.25">
      <c r="C233" s="33"/>
      <c r="T233" s="15"/>
      <c r="AW233" s="33"/>
    </row>
    <row r="234" spans="3:49" x14ac:dyDescent="0.25">
      <c r="C234" s="33"/>
      <c r="T234" s="15"/>
      <c r="AW234" s="33"/>
    </row>
    <row r="235" spans="3:49" x14ac:dyDescent="0.25">
      <c r="C235" s="33"/>
      <c r="T235" s="15"/>
      <c r="AW235" s="33"/>
    </row>
    <row r="236" spans="3:49" x14ac:dyDescent="0.25">
      <c r="C236" s="33"/>
      <c r="T236" s="15"/>
      <c r="AW236" s="33"/>
    </row>
    <row r="237" spans="3:49" x14ac:dyDescent="0.25">
      <c r="C237" s="33"/>
      <c r="T237" s="15"/>
      <c r="AW237" s="33"/>
    </row>
    <row r="238" spans="3:49" x14ac:dyDescent="0.25">
      <c r="C238" s="33"/>
      <c r="T238" s="15"/>
      <c r="AW238" s="33"/>
    </row>
    <row r="239" spans="3:49" x14ac:dyDescent="0.25">
      <c r="C239" s="33"/>
      <c r="T239" s="15"/>
      <c r="AW239" s="33"/>
    </row>
    <row r="240" spans="3:49" x14ac:dyDescent="0.25">
      <c r="C240" s="33"/>
      <c r="T240" s="15"/>
      <c r="AW240" s="33"/>
    </row>
    <row r="241" spans="3:49" x14ac:dyDescent="0.25">
      <c r="C241" s="33"/>
      <c r="T241" s="15"/>
      <c r="AW241" s="33"/>
    </row>
    <row r="242" spans="3:49" x14ac:dyDescent="0.25">
      <c r="C242" s="33"/>
      <c r="T242" s="15"/>
      <c r="AW242" s="33"/>
    </row>
    <row r="243" spans="3:49" x14ac:dyDescent="0.25">
      <c r="C243" s="33"/>
      <c r="T243" s="15"/>
      <c r="AW243" s="33"/>
    </row>
    <row r="244" spans="3:49" x14ac:dyDescent="0.25">
      <c r="C244" s="33"/>
      <c r="T244" s="15"/>
      <c r="AW244" s="33"/>
    </row>
    <row r="245" spans="3:49" x14ac:dyDescent="0.25">
      <c r="C245" s="33"/>
      <c r="T245" s="15"/>
      <c r="AW245" s="33"/>
    </row>
    <row r="246" spans="3:49" x14ac:dyDescent="0.25">
      <c r="C246" s="33"/>
      <c r="T246" s="15"/>
      <c r="AW246" s="33"/>
    </row>
    <row r="247" spans="3:49" x14ac:dyDescent="0.25">
      <c r="C247" s="33"/>
      <c r="T247" s="15"/>
      <c r="AW247" s="33"/>
    </row>
    <row r="248" spans="3:49" x14ac:dyDescent="0.25">
      <c r="C248" s="33"/>
      <c r="T248" s="15"/>
      <c r="AW248" s="33"/>
    </row>
    <row r="249" spans="3:49" x14ac:dyDescent="0.25">
      <c r="C249" s="33"/>
      <c r="T249" s="15"/>
      <c r="AW249" s="33"/>
    </row>
    <row r="250" spans="3:49" x14ac:dyDescent="0.25">
      <c r="C250" s="33"/>
      <c r="T250" s="15"/>
      <c r="AW250" s="33"/>
    </row>
    <row r="251" spans="3:49" x14ac:dyDescent="0.25">
      <c r="C251" s="33"/>
      <c r="T251" s="15"/>
      <c r="AW251" s="33"/>
    </row>
    <row r="252" spans="3:49" x14ac:dyDescent="0.25">
      <c r="C252" s="33"/>
      <c r="T252" s="15"/>
      <c r="AW252" s="33"/>
    </row>
    <row r="253" spans="3:49" x14ac:dyDescent="0.25">
      <c r="C253" s="33"/>
      <c r="T253" s="15"/>
      <c r="AW253" s="33"/>
    </row>
    <row r="254" spans="3:49" x14ac:dyDescent="0.25">
      <c r="C254" s="33"/>
      <c r="T254" s="15"/>
      <c r="AW254" s="33"/>
    </row>
    <row r="255" spans="3:49" x14ac:dyDescent="0.25">
      <c r="C255" s="33"/>
      <c r="T255" s="15"/>
      <c r="AW255" s="33"/>
    </row>
    <row r="256" spans="3:49" x14ac:dyDescent="0.25">
      <c r="C256" s="33"/>
      <c r="T256" s="15"/>
      <c r="AW256" s="33"/>
    </row>
    <row r="257" spans="3:49" x14ac:dyDescent="0.25">
      <c r="C257" s="33"/>
      <c r="T257" s="15"/>
      <c r="AW257" s="33"/>
    </row>
    <row r="258" spans="3:49" x14ac:dyDescent="0.25">
      <c r="C258" s="33"/>
      <c r="T258" s="15"/>
      <c r="AW258" s="33"/>
    </row>
    <row r="259" spans="3:49" x14ac:dyDescent="0.25">
      <c r="C259" s="33"/>
      <c r="T259" s="15"/>
      <c r="AW259" s="33"/>
    </row>
    <row r="260" spans="3:49" x14ac:dyDescent="0.25">
      <c r="C260" s="33"/>
      <c r="T260" s="15"/>
      <c r="AW260" s="33"/>
    </row>
    <row r="261" spans="3:49" x14ac:dyDescent="0.25">
      <c r="C261" s="33"/>
      <c r="T261" s="15"/>
      <c r="AW261" s="33"/>
    </row>
    <row r="262" spans="3:49" x14ac:dyDescent="0.25">
      <c r="C262" s="33"/>
      <c r="T262" s="15"/>
      <c r="AW262" s="33"/>
    </row>
    <row r="263" spans="3:49" x14ac:dyDescent="0.25">
      <c r="C263" s="33"/>
      <c r="T263" s="15"/>
      <c r="AW263" s="33"/>
    </row>
    <row r="264" spans="3:49" x14ac:dyDescent="0.25">
      <c r="C264" s="33"/>
      <c r="T264" s="15"/>
      <c r="AW264" s="33"/>
    </row>
    <row r="265" spans="3:49" x14ac:dyDescent="0.25">
      <c r="C265" s="33"/>
      <c r="T265" s="15"/>
      <c r="AW265" s="33"/>
    </row>
    <row r="266" spans="3:49" x14ac:dyDescent="0.25">
      <c r="C266" s="33"/>
      <c r="T266" s="15"/>
      <c r="AW266" s="33"/>
    </row>
    <row r="267" spans="3:49" x14ac:dyDescent="0.25">
      <c r="C267" s="33"/>
      <c r="T267" s="15"/>
      <c r="AW267" s="33"/>
    </row>
    <row r="268" spans="3:49" x14ac:dyDescent="0.25">
      <c r="C268" s="33"/>
      <c r="T268" s="15"/>
      <c r="AW268" s="33"/>
    </row>
    <row r="269" spans="3:49" x14ac:dyDescent="0.25">
      <c r="C269" s="33"/>
      <c r="T269" s="15"/>
      <c r="AW269" s="33"/>
    </row>
    <row r="270" spans="3:49" x14ac:dyDescent="0.25">
      <c r="C270" s="33"/>
      <c r="T270" s="15"/>
      <c r="AW270" s="33"/>
    </row>
    <row r="271" spans="3:49" x14ac:dyDescent="0.25">
      <c r="C271" s="33"/>
      <c r="T271" s="15"/>
      <c r="AW271" s="33"/>
    </row>
    <row r="272" spans="3:49" x14ac:dyDescent="0.25">
      <c r="C272" s="33"/>
      <c r="T272" s="15"/>
      <c r="AW272" s="33"/>
    </row>
    <row r="273" spans="3:49" x14ac:dyDescent="0.25">
      <c r="C273" s="33"/>
      <c r="T273" s="15"/>
      <c r="AW273" s="33"/>
    </row>
    <row r="274" spans="3:49" x14ac:dyDescent="0.25">
      <c r="C274" s="33"/>
      <c r="T274" s="15"/>
      <c r="AW274" s="33"/>
    </row>
    <row r="275" spans="3:49" x14ac:dyDescent="0.25">
      <c r="C275" s="33"/>
      <c r="T275" s="15"/>
      <c r="AW275" s="33"/>
    </row>
    <row r="276" spans="3:49" x14ac:dyDescent="0.25">
      <c r="C276" s="33"/>
      <c r="T276" s="15"/>
      <c r="AW276" s="33"/>
    </row>
    <row r="277" spans="3:49" x14ac:dyDescent="0.25">
      <c r="C277" s="33"/>
      <c r="T277" s="15"/>
      <c r="AW277" s="33"/>
    </row>
    <row r="278" spans="3:49" x14ac:dyDescent="0.25">
      <c r="C278" s="33"/>
      <c r="T278" s="15"/>
      <c r="AW278" s="33"/>
    </row>
    <row r="279" spans="3:49" x14ac:dyDescent="0.25">
      <c r="C279" s="33"/>
      <c r="T279" s="15"/>
      <c r="AW279" s="33"/>
    </row>
    <row r="280" spans="3:49" x14ac:dyDescent="0.25">
      <c r="C280" s="33"/>
      <c r="T280" s="15"/>
      <c r="AW280" s="33"/>
    </row>
    <row r="281" spans="3:49" x14ac:dyDescent="0.25">
      <c r="C281" s="33"/>
      <c r="T281" s="15"/>
      <c r="AW281" s="33"/>
    </row>
    <row r="282" spans="3:49" x14ac:dyDescent="0.25">
      <c r="C282" s="33"/>
      <c r="T282" s="15"/>
      <c r="AW282" s="33"/>
    </row>
    <row r="283" spans="3:49" x14ac:dyDescent="0.25">
      <c r="C283" s="33"/>
      <c r="T283" s="15"/>
      <c r="AW283" s="33"/>
    </row>
    <row r="284" spans="3:49" x14ac:dyDescent="0.25">
      <c r="C284" s="33"/>
      <c r="T284" s="15"/>
      <c r="AW284" s="33"/>
    </row>
    <row r="285" spans="3:49" x14ac:dyDescent="0.25">
      <c r="C285" s="33"/>
      <c r="T285" s="15"/>
      <c r="AW285" s="33"/>
    </row>
    <row r="286" spans="3:49" x14ac:dyDescent="0.25">
      <c r="C286" s="33"/>
      <c r="T286" s="15"/>
      <c r="AW286" s="33"/>
    </row>
    <row r="287" spans="3:49" x14ac:dyDescent="0.25">
      <c r="C287" s="33"/>
      <c r="T287" s="15"/>
      <c r="AW287" s="33"/>
    </row>
    <row r="288" spans="3:49" x14ac:dyDescent="0.25">
      <c r="C288" s="33"/>
      <c r="T288" s="15"/>
      <c r="AW288" s="33"/>
    </row>
    <row r="289" spans="3:49" x14ac:dyDescent="0.25">
      <c r="C289" s="33"/>
      <c r="T289" s="15"/>
      <c r="AW289" s="33"/>
    </row>
    <row r="290" spans="3:49" x14ac:dyDescent="0.25">
      <c r="C290" s="33"/>
      <c r="T290" s="15"/>
      <c r="AW290" s="33"/>
    </row>
    <row r="291" spans="3:49" x14ac:dyDescent="0.25">
      <c r="C291" s="33"/>
      <c r="T291" s="15"/>
      <c r="AW291" s="33"/>
    </row>
    <row r="292" spans="3:49" x14ac:dyDescent="0.25">
      <c r="C292" s="33"/>
      <c r="T292" s="15"/>
      <c r="AW292" s="33"/>
    </row>
    <row r="293" spans="3:49" x14ac:dyDescent="0.25">
      <c r="C293" s="33"/>
      <c r="T293" s="15"/>
      <c r="AW293" s="33"/>
    </row>
    <row r="294" spans="3:49" x14ac:dyDescent="0.25">
      <c r="C294" s="33"/>
      <c r="T294" s="15"/>
      <c r="AW294" s="33"/>
    </row>
    <row r="295" spans="3:49" x14ac:dyDescent="0.25">
      <c r="C295" s="33"/>
      <c r="T295" s="15"/>
      <c r="AW295" s="33"/>
    </row>
    <row r="296" spans="3:49" x14ac:dyDescent="0.25">
      <c r="C296" s="33"/>
      <c r="T296" s="15"/>
      <c r="AW296" s="33"/>
    </row>
    <row r="297" spans="3:49" x14ac:dyDescent="0.25">
      <c r="C297" s="33"/>
      <c r="T297" s="15"/>
      <c r="AW297" s="33"/>
    </row>
    <row r="298" spans="3:49" x14ac:dyDescent="0.25">
      <c r="C298" s="33"/>
      <c r="T298" s="15"/>
      <c r="AW298" s="33"/>
    </row>
    <row r="299" spans="3:49" x14ac:dyDescent="0.25">
      <c r="C299" s="33"/>
      <c r="T299" s="15"/>
      <c r="AW299" s="33"/>
    </row>
    <row r="300" spans="3:49" x14ac:dyDescent="0.25">
      <c r="C300" s="33"/>
      <c r="T300" s="15"/>
      <c r="AW300" s="33"/>
    </row>
    <row r="301" spans="3:49" x14ac:dyDescent="0.25">
      <c r="C301" s="33"/>
      <c r="T301" s="15"/>
      <c r="AW301" s="33"/>
    </row>
    <row r="302" spans="3:49" x14ac:dyDescent="0.25">
      <c r="C302" s="33"/>
      <c r="T302" s="15"/>
      <c r="AW302" s="33"/>
    </row>
    <row r="303" spans="3:49" x14ac:dyDescent="0.25">
      <c r="C303" s="33"/>
      <c r="T303" s="15"/>
      <c r="AW303" s="33"/>
    </row>
    <row r="304" spans="3:49" x14ac:dyDescent="0.25">
      <c r="C304" s="33"/>
      <c r="T304" s="15"/>
      <c r="AW304" s="33"/>
    </row>
    <row r="305" spans="3:49" x14ac:dyDescent="0.25">
      <c r="C305" s="33"/>
      <c r="T305" s="15"/>
      <c r="AW305" s="33"/>
    </row>
    <row r="306" spans="3:49" x14ac:dyDescent="0.25">
      <c r="C306" s="33"/>
      <c r="T306" s="15"/>
      <c r="AW306" s="33"/>
    </row>
    <row r="307" spans="3:49" x14ac:dyDescent="0.25">
      <c r="C307" s="33"/>
      <c r="T307" s="15"/>
      <c r="AW307" s="33"/>
    </row>
    <row r="308" spans="3:49" x14ac:dyDescent="0.25">
      <c r="C308" s="33"/>
      <c r="T308" s="15"/>
      <c r="AW308" s="33"/>
    </row>
    <row r="309" spans="3:49" x14ac:dyDescent="0.25">
      <c r="C309" s="33"/>
      <c r="T309" s="15"/>
      <c r="AW309" s="33"/>
    </row>
    <row r="310" spans="3:49" x14ac:dyDescent="0.25">
      <c r="C310" s="33"/>
      <c r="T310" s="15"/>
      <c r="AW310" s="33"/>
    </row>
    <row r="311" spans="3:49" x14ac:dyDescent="0.25">
      <c r="C311" s="33"/>
      <c r="T311" s="15"/>
      <c r="AW311" s="33"/>
    </row>
    <row r="312" spans="3:49" x14ac:dyDescent="0.25">
      <c r="C312" s="33"/>
      <c r="T312" s="15"/>
      <c r="AW312" s="33"/>
    </row>
    <row r="313" spans="3:49" x14ac:dyDescent="0.25">
      <c r="C313" s="33"/>
      <c r="T313" s="15"/>
      <c r="AW313" s="33"/>
    </row>
    <row r="314" spans="3:49" x14ac:dyDescent="0.25">
      <c r="C314" s="33"/>
      <c r="T314" s="15"/>
      <c r="AW314" s="33"/>
    </row>
    <row r="315" spans="3:49" x14ac:dyDescent="0.25">
      <c r="C315" s="33"/>
      <c r="T315" s="15"/>
      <c r="AW315" s="3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1 - Filterpaper SW</vt:lpstr>
      <vt:lpstr>2 - glass surface</vt:lpstr>
      <vt:lpstr>3 - hedgehog spines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vjp649</dc:creator>
  <cp:lastModifiedBy>Nadja Møbjerg</cp:lastModifiedBy>
  <cp:revision>0</cp:revision>
  <dcterms:created xsi:type="dcterms:W3CDTF">2014-05-30T09:11:52Z</dcterms:created>
  <dcterms:modified xsi:type="dcterms:W3CDTF">2018-07-10T09:39:07Z</dcterms:modified>
</cp:coreProperties>
</file>