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1"/>
  <workbookPr hidePivotFieldList="1" defaultThemeVersion="166925"/>
  <mc:AlternateContent xmlns:mc="http://schemas.openxmlformats.org/markup-compatibility/2006">
    <mc:Choice Requires="x15">
      <x15ac:absPath xmlns:x15ac="http://schemas.microsoft.com/office/spreadsheetml/2010/11/ac" url="https://springboarddac-my.sharepoint.com/personal/rochini_paidisetty_springboarddac_onmicrosoft_com/Documents/"/>
    </mc:Choice>
  </mc:AlternateContent>
  <xr:revisionPtr revIDLastSave="0" documentId="8_{413588E0-D432-435D-8692-4A597CC81F7D}" xr6:coauthVersionLast="45" xr6:coauthVersionMax="45" xr10:uidLastSave="{00000000-0000-0000-0000-000000000000}"/>
  <bookViews>
    <workbookView xWindow="0" yWindow="0" windowWidth="28800" windowHeight="18000" tabRatio="837" firstSheet="7" activeTab="7" xr2:uid="{00000000-000D-0000-FFFF-FFFF00000000}"/>
  </bookViews>
  <sheets>
    <sheet name="READ ME BEFORE STARTING" sheetId="11" r:id="rId1"/>
    <sheet name="Definitions" sheetId="1" r:id="rId2"/>
    <sheet name="CC Actuals" sheetId="2" r:id="rId3"/>
    <sheet name="Financial ACTUALS" sheetId="3" r:id="rId4"/>
    <sheet name="Variance Analysis" sheetId="4" r:id="rId5"/>
    <sheet name="Cost to Produce" sheetId="7" r:id="rId6"/>
    <sheet name="Sheet4" sheetId="17" r:id="rId7"/>
    <sheet name="EBIT" sheetId="8" r:id="rId8"/>
    <sheet name="CC BUDGET" sheetId="9" r:id="rId9"/>
    <sheet name="Financial BUDGET" sheetId="5" r:id="rId10"/>
    <sheet name="Water Production Actuals" sheetId="6" r:id="rId11"/>
    <sheet name="Water Production Budget" sheetId="10" r:id="rId12"/>
  </sheets>
  <definedNames>
    <definedName name="_xlnm._FilterDatabase" localSheetId="2" hidden="1">'CC Actuals'!$A$3:$P$69</definedName>
    <definedName name="_xlchart.v1.0" hidden="1">'Variance Analysis'!$B$119:$M$119</definedName>
    <definedName name="_xlchart.v1.1" hidden="1">'Variance Analysis'!$B$124:$M$124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0" i="8" l="1"/>
  <c r="E120" i="8"/>
  <c r="F120" i="8"/>
  <c r="G120" i="8"/>
  <c r="H120" i="8"/>
  <c r="I120" i="8"/>
  <c r="J120" i="8"/>
  <c r="K120" i="8"/>
  <c r="L120" i="8"/>
  <c r="M120" i="8"/>
  <c r="N120" i="8"/>
  <c r="D125" i="8"/>
  <c r="E125" i="8"/>
  <c r="F125" i="8"/>
  <c r="G125" i="8"/>
  <c r="H125" i="8"/>
  <c r="I125" i="8"/>
  <c r="J125" i="8"/>
  <c r="K125" i="8"/>
  <c r="L125" i="8"/>
  <c r="M125" i="8"/>
  <c r="N125" i="8"/>
  <c r="C125" i="8"/>
  <c r="C120" i="8"/>
  <c r="D115" i="8"/>
  <c r="E115" i="8"/>
  <c r="F115" i="8"/>
  <c r="G115" i="8"/>
  <c r="H115" i="8"/>
  <c r="I115" i="8"/>
  <c r="J115" i="8"/>
  <c r="K115" i="8"/>
  <c r="L115" i="8"/>
  <c r="M115" i="8"/>
  <c r="N115" i="8"/>
  <c r="C115" i="8"/>
  <c r="D109" i="8"/>
  <c r="E109" i="8"/>
  <c r="F109" i="8"/>
  <c r="G109" i="8"/>
  <c r="H109" i="8"/>
  <c r="I109" i="8"/>
  <c r="J109" i="8"/>
  <c r="K109" i="8"/>
  <c r="L109" i="8"/>
  <c r="M109" i="8"/>
  <c r="N109" i="8"/>
  <c r="C109" i="8"/>
  <c r="D72" i="17"/>
  <c r="E72" i="17"/>
  <c r="F72" i="17"/>
  <c r="G72" i="17"/>
  <c r="H72" i="17"/>
  <c r="I72" i="17"/>
  <c r="J72" i="17"/>
  <c r="K72" i="17"/>
  <c r="L72" i="17"/>
  <c r="M72" i="17"/>
  <c r="N72" i="17"/>
  <c r="D73" i="17"/>
  <c r="E73" i="17"/>
  <c r="F73" i="17"/>
  <c r="G73" i="17"/>
  <c r="H73" i="17"/>
  <c r="I73" i="17"/>
  <c r="J73" i="17"/>
  <c r="K73" i="17"/>
  <c r="L73" i="17"/>
  <c r="M73" i="17"/>
  <c r="N73" i="17"/>
  <c r="C72" i="17"/>
  <c r="C73" i="17"/>
  <c r="D50" i="17"/>
  <c r="E50" i="17"/>
  <c r="F50" i="17"/>
  <c r="G50" i="17"/>
  <c r="H50" i="17"/>
  <c r="I50" i="17"/>
  <c r="J50" i="17"/>
  <c r="K50" i="17"/>
  <c r="L50" i="17"/>
  <c r="M50" i="17"/>
  <c r="N50" i="17"/>
  <c r="C50" i="17"/>
  <c r="D49" i="17"/>
  <c r="E49" i="17"/>
  <c r="F49" i="17"/>
  <c r="G49" i="17"/>
  <c r="H49" i="17"/>
  <c r="I49" i="17"/>
  <c r="J49" i="17"/>
  <c r="K49" i="17"/>
  <c r="L49" i="17"/>
  <c r="M49" i="17"/>
  <c r="N49" i="17"/>
  <c r="C49" i="17"/>
  <c r="D27" i="17"/>
  <c r="E27" i="17"/>
  <c r="F27" i="17"/>
  <c r="G27" i="17"/>
  <c r="H27" i="17"/>
  <c r="I27" i="17"/>
  <c r="J27" i="17"/>
  <c r="K27" i="17"/>
  <c r="L27" i="17"/>
  <c r="M27" i="17"/>
  <c r="N27" i="17"/>
  <c r="C27" i="17"/>
  <c r="D26" i="17"/>
  <c r="E26" i="17"/>
  <c r="F26" i="17"/>
  <c r="G26" i="17"/>
  <c r="H26" i="17"/>
  <c r="I26" i="17"/>
  <c r="J26" i="17"/>
  <c r="K26" i="17"/>
  <c r="L26" i="17"/>
  <c r="M26" i="17"/>
  <c r="N26" i="17"/>
  <c r="C26" i="17"/>
  <c r="D4" i="17"/>
  <c r="E4" i="17"/>
  <c r="F4" i="17"/>
  <c r="G4" i="17"/>
  <c r="H4" i="17"/>
  <c r="I4" i="17"/>
  <c r="J4" i="17"/>
  <c r="K4" i="17"/>
  <c r="L4" i="17"/>
  <c r="M4" i="17"/>
  <c r="N4" i="17"/>
  <c r="C4" i="17"/>
  <c r="D3" i="17"/>
  <c r="E3" i="17"/>
  <c r="F3" i="17"/>
  <c r="G3" i="17"/>
  <c r="H3" i="17"/>
  <c r="I3" i="17"/>
  <c r="J3" i="17"/>
  <c r="K3" i="17"/>
  <c r="L3" i="17"/>
  <c r="M3" i="17"/>
  <c r="N3" i="17"/>
  <c r="C3" i="17"/>
  <c r="D72" i="7" l="1"/>
  <c r="E72" i="7"/>
  <c r="F72" i="7"/>
  <c r="G72" i="7"/>
  <c r="H72" i="7"/>
  <c r="I72" i="7"/>
  <c r="J72" i="7"/>
  <c r="K72" i="7"/>
  <c r="L72" i="7"/>
  <c r="M72" i="7"/>
  <c r="N72" i="7"/>
  <c r="C72" i="7"/>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1" i="7"/>
  <c r="C70" i="7"/>
  <c r="C69" i="7"/>
  <c r="D67" i="7"/>
  <c r="E67" i="7"/>
  <c r="F67" i="7"/>
  <c r="G67" i="7"/>
  <c r="H67" i="7"/>
  <c r="I67" i="7"/>
  <c r="J67" i="7"/>
  <c r="K67" i="7"/>
  <c r="L67" i="7"/>
  <c r="M67" i="7"/>
  <c r="N67" i="7"/>
  <c r="D68" i="7"/>
  <c r="E68" i="7"/>
  <c r="F68" i="7"/>
  <c r="G68" i="7"/>
  <c r="H68" i="7"/>
  <c r="I68" i="7"/>
  <c r="J68" i="7"/>
  <c r="K68" i="7"/>
  <c r="L68" i="7"/>
  <c r="M68" i="7"/>
  <c r="N68" i="7"/>
  <c r="C68" i="7"/>
  <c r="C67" i="7"/>
  <c r="D66" i="7"/>
  <c r="E66" i="7"/>
  <c r="F66" i="7"/>
  <c r="G66" i="7"/>
  <c r="H66" i="7"/>
  <c r="I66" i="7"/>
  <c r="J66" i="7"/>
  <c r="K66" i="7"/>
  <c r="L66" i="7"/>
  <c r="M66" i="7"/>
  <c r="N66" i="7"/>
  <c r="C66" i="7"/>
  <c r="D62" i="7"/>
  <c r="E62" i="7"/>
  <c r="F62" i="7"/>
  <c r="G62" i="7"/>
  <c r="H62" i="7"/>
  <c r="I62" i="7"/>
  <c r="J62" i="7"/>
  <c r="K62" i="7"/>
  <c r="L62" i="7"/>
  <c r="M62" i="7"/>
  <c r="N62" i="7"/>
  <c r="C62" i="7"/>
  <c r="D61" i="7"/>
  <c r="E61" i="7"/>
  <c r="F61" i="7"/>
  <c r="G61" i="7"/>
  <c r="H61" i="7"/>
  <c r="I61" i="7"/>
  <c r="J61" i="7"/>
  <c r="K61" i="7"/>
  <c r="L61" i="7"/>
  <c r="M61" i="7"/>
  <c r="N61" i="7"/>
  <c r="C61" i="7"/>
  <c r="D59" i="7"/>
  <c r="E59" i="7"/>
  <c r="F59" i="7"/>
  <c r="G59" i="7"/>
  <c r="H59" i="7"/>
  <c r="I59" i="7"/>
  <c r="J59" i="7"/>
  <c r="K59" i="7"/>
  <c r="L59" i="7"/>
  <c r="M59" i="7"/>
  <c r="N59" i="7"/>
  <c r="D60" i="7"/>
  <c r="E60" i="7"/>
  <c r="F60" i="7"/>
  <c r="G60" i="7"/>
  <c r="H60" i="7"/>
  <c r="I60" i="7"/>
  <c r="J60" i="7"/>
  <c r="K60" i="7"/>
  <c r="L60" i="7"/>
  <c r="M60" i="7"/>
  <c r="N60" i="7"/>
  <c r="C60" i="7"/>
  <c r="C59" i="7"/>
  <c r="D58" i="7"/>
  <c r="E58" i="7"/>
  <c r="F58" i="7"/>
  <c r="G58" i="7"/>
  <c r="H58" i="7"/>
  <c r="I58" i="7"/>
  <c r="J58" i="7"/>
  <c r="K58" i="7"/>
  <c r="L58" i="7"/>
  <c r="M58" i="7"/>
  <c r="N58" i="7"/>
  <c r="C58" i="7"/>
  <c r="D54" i="7"/>
  <c r="E54" i="7"/>
  <c r="F54" i="7"/>
  <c r="G54" i="7"/>
  <c r="H54" i="7"/>
  <c r="I54" i="7"/>
  <c r="J54" i="7"/>
  <c r="K54" i="7"/>
  <c r="L54" i="7"/>
  <c r="M54" i="7"/>
  <c r="N54" i="7"/>
  <c r="C54" i="7"/>
  <c r="D53" i="7"/>
  <c r="E53" i="7"/>
  <c r="F53" i="7"/>
  <c r="G53" i="7"/>
  <c r="H53" i="7"/>
  <c r="I53" i="7"/>
  <c r="J53" i="7"/>
  <c r="K53" i="7"/>
  <c r="L53" i="7"/>
  <c r="M53" i="7"/>
  <c r="N53" i="7"/>
  <c r="D45" i="7"/>
  <c r="E45" i="7"/>
  <c r="F45" i="7"/>
  <c r="G45" i="7"/>
  <c r="G46" i="7" s="1"/>
  <c r="H45" i="7"/>
  <c r="I45" i="7"/>
  <c r="J45" i="7"/>
  <c r="K45" i="7"/>
  <c r="K46" i="7" s="1"/>
  <c r="L45" i="7"/>
  <c r="M45" i="7"/>
  <c r="N45" i="7"/>
  <c r="C45" i="7"/>
  <c r="C53" i="7"/>
  <c r="D51" i="7"/>
  <c r="E51" i="7"/>
  <c r="F51" i="7"/>
  <c r="G51" i="7"/>
  <c r="H51" i="7"/>
  <c r="I51" i="7"/>
  <c r="J51" i="7"/>
  <c r="K51" i="7"/>
  <c r="L51" i="7"/>
  <c r="M51" i="7"/>
  <c r="N51" i="7"/>
  <c r="D52" i="7"/>
  <c r="E52" i="7"/>
  <c r="F52" i="7"/>
  <c r="G52" i="7"/>
  <c r="H52" i="7"/>
  <c r="I52" i="7"/>
  <c r="J52" i="7"/>
  <c r="K52" i="7"/>
  <c r="L52" i="7"/>
  <c r="M52" i="7"/>
  <c r="N52" i="7"/>
  <c r="C52" i="7"/>
  <c r="C51" i="7"/>
  <c r="D50" i="7"/>
  <c r="E50" i="7"/>
  <c r="F50" i="7"/>
  <c r="G50" i="7"/>
  <c r="H50" i="7"/>
  <c r="I50" i="7"/>
  <c r="J50" i="7"/>
  <c r="K50" i="7"/>
  <c r="L50" i="7"/>
  <c r="M50" i="7"/>
  <c r="N50" i="7"/>
  <c r="C50" i="7"/>
  <c r="D46" i="7"/>
  <c r="E46" i="7"/>
  <c r="F46" i="7"/>
  <c r="H46" i="7"/>
  <c r="I46" i="7"/>
  <c r="J46" i="7"/>
  <c r="L46" i="7"/>
  <c r="M46" i="7"/>
  <c r="N46" i="7"/>
  <c r="C46" i="7"/>
  <c r="D44" i="7"/>
  <c r="E44" i="7"/>
  <c r="F44" i="7"/>
  <c r="G44" i="7"/>
  <c r="H44" i="7"/>
  <c r="I44" i="7"/>
  <c r="J44" i="7"/>
  <c r="K44" i="7"/>
  <c r="L44" i="7"/>
  <c r="M44" i="7"/>
  <c r="N44" i="7"/>
  <c r="D43" i="7"/>
  <c r="E43" i="7"/>
  <c r="F43" i="7"/>
  <c r="G43" i="7"/>
  <c r="H43" i="7"/>
  <c r="I43" i="7"/>
  <c r="J43" i="7"/>
  <c r="K43" i="7"/>
  <c r="L43" i="7"/>
  <c r="M43" i="7"/>
  <c r="N43" i="7"/>
  <c r="C44" i="7"/>
  <c r="C43" i="7"/>
  <c r="D42" i="7"/>
  <c r="E42" i="7"/>
  <c r="F42" i="7"/>
  <c r="G42" i="7"/>
  <c r="H42" i="7"/>
  <c r="I42" i="7"/>
  <c r="J42" i="7"/>
  <c r="K42" i="7"/>
  <c r="L42" i="7"/>
  <c r="M42" i="7"/>
  <c r="N42" i="7"/>
  <c r="C42" i="7"/>
  <c r="F41" i="4" l="1"/>
  <c r="F21" i="8" s="1"/>
  <c r="G41" i="4"/>
  <c r="G21" i="8" s="1"/>
  <c r="J41" i="4"/>
  <c r="J21" i="8" s="1"/>
  <c r="K41" i="4"/>
  <c r="K21" i="8" s="1"/>
  <c r="N41" i="4"/>
  <c r="N21" i="8" s="1"/>
  <c r="C41" i="4"/>
  <c r="F37" i="4"/>
  <c r="F14" i="8" s="1"/>
  <c r="G37" i="4"/>
  <c r="G14" i="8" s="1"/>
  <c r="J37" i="4"/>
  <c r="J14" i="8" s="1"/>
  <c r="K37" i="4"/>
  <c r="K14" i="8" s="1"/>
  <c r="N37" i="4"/>
  <c r="N14" i="8" s="1"/>
  <c r="C37" i="4"/>
  <c r="F33" i="4"/>
  <c r="G33" i="4"/>
  <c r="G7" i="8" s="1"/>
  <c r="J33" i="4"/>
  <c r="K33" i="4"/>
  <c r="K7" i="8" s="1"/>
  <c r="N33" i="4"/>
  <c r="C33" i="4"/>
  <c r="C45" i="4" s="1"/>
  <c r="F39" i="3"/>
  <c r="D41" i="4" s="1"/>
  <c r="D21" i="8" s="1"/>
  <c r="G39" i="3"/>
  <c r="E41" i="4" s="1"/>
  <c r="E21" i="8" s="1"/>
  <c r="H39" i="3"/>
  <c r="I39" i="3"/>
  <c r="J39" i="3"/>
  <c r="H41" i="4" s="1"/>
  <c r="H21" i="8" s="1"/>
  <c r="K39" i="3"/>
  <c r="I41" i="4" s="1"/>
  <c r="I21" i="8" s="1"/>
  <c r="L39" i="3"/>
  <c r="M39" i="3"/>
  <c r="N39" i="3"/>
  <c r="L41" i="4" s="1"/>
  <c r="L21" i="8" s="1"/>
  <c r="O39" i="3"/>
  <c r="M41" i="4" s="1"/>
  <c r="M21" i="8" s="1"/>
  <c r="P39" i="3"/>
  <c r="E39" i="3"/>
  <c r="F32" i="3"/>
  <c r="D37" i="4" s="1"/>
  <c r="G32" i="3"/>
  <c r="E37" i="4" s="1"/>
  <c r="H32" i="3"/>
  <c r="I32" i="3"/>
  <c r="J32" i="3"/>
  <c r="H37" i="4" s="1"/>
  <c r="K32" i="3"/>
  <c r="I37" i="4" s="1"/>
  <c r="L32" i="3"/>
  <c r="M32" i="3"/>
  <c r="N32" i="3"/>
  <c r="L37" i="4" s="1"/>
  <c r="O32" i="3"/>
  <c r="M37" i="4" s="1"/>
  <c r="P32" i="3"/>
  <c r="E32" i="3"/>
  <c r="F27" i="3"/>
  <c r="D33" i="4" s="1"/>
  <c r="G27" i="3"/>
  <c r="E33" i="4" s="1"/>
  <c r="E7" i="8" s="1"/>
  <c r="H27" i="3"/>
  <c r="I27" i="3"/>
  <c r="J27" i="3"/>
  <c r="H33" i="4" s="1"/>
  <c r="K27" i="3"/>
  <c r="I33" i="4" s="1"/>
  <c r="L27" i="3"/>
  <c r="M27" i="3"/>
  <c r="N27" i="3"/>
  <c r="L33" i="4" s="1"/>
  <c r="O27" i="3"/>
  <c r="M33" i="4" s="1"/>
  <c r="P27" i="3"/>
  <c r="E27" i="3"/>
  <c r="D24" i="4"/>
  <c r="E24" i="4"/>
  <c r="F24" i="4"/>
  <c r="G24" i="4"/>
  <c r="G59" i="8" s="1"/>
  <c r="H24" i="4"/>
  <c r="I24" i="4"/>
  <c r="J24" i="4"/>
  <c r="K24" i="4"/>
  <c r="K59" i="8" s="1"/>
  <c r="L24" i="4"/>
  <c r="M24" i="4"/>
  <c r="N24" i="4"/>
  <c r="D46" i="5"/>
  <c r="E46" i="5"/>
  <c r="F46" i="5"/>
  <c r="G46" i="5"/>
  <c r="H46" i="5"/>
  <c r="I46" i="5"/>
  <c r="J46" i="5"/>
  <c r="K46" i="5"/>
  <c r="L46" i="5"/>
  <c r="M46" i="5"/>
  <c r="N46" i="5"/>
  <c r="D20" i="4"/>
  <c r="E20" i="4"/>
  <c r="F20" i="4"/>
  <c r="G20" i="4"/>
  <c r="H20" i="4"/>
  <c r="I20" i="4"/>
  <c r="J20" i="4"/>
  <c r="K20" i="4"/>
  <c r="L20" i="4"/>
  <c r="M20" i="4"/>
  <c r="N20" i="4"/>
  <c r="C20" i="4"/>
  <c r="D16" i="4"/>
  <c r="E16" i="4"/>
  <c r="E44" i="8" s="1"/>
  <c r="F16" i="4"/>
  <c r="F44" i="8" s="1"/>
  <c r="G16" i="4"/>
  <c r="G44" i="8" s="1"/>
  <c r="H16" i="4"/>
  <c r="I16" i="4"/>
  <c r="I44" i="8" s="1"/>
  <c r="J16" i="4"/>
  <c r="J44" i="8" s="1"/>
  <c r="K16" i="4"/>
  <c r="K44" i="8" s="1"/>
  <c r="L16" i="4"/>
  <c r="M16" i="4"/>
  <c r="M44" i="8" s="1"/>
  <c r="N16" i="4"/>
  <c r="N44" i="8" s="1"/>
  <c r="C16" i="4"/>
  <c r="D12" i="4"/>
  <c r="E12" i="4"/>
  <c r="F12" i="4"/>
  <c r="F36" i="8" s="1"/>
  <c r="G12" i="4"/>
  <c r="G36" i="8" s="1"/>
  <c r="H12" i="4"/>
  <c r="I12" i="4"/>
  <c r="J12" i="4"/>
  <c r="J36" i="8" s="1"/>
  <c r="K12" i="4"/>
  <c r="K36" i="8" s="1"/>
  <c r="L12" i="4"/>
  <c r="M12" i="4"/>
  <c r="N12" i="4"/>
  <c r="N36" i="8" s="1"/>
  <c r="C12" i="4"/>
  <c r="D59" i="8"/>
  <c r="E59" i="8"/>
  <c r="F59" i="8"/>
  <c r="H59" i="8"/>
  <c r="I59" i="8"/>
  <c r="J59" i="8"/>
  <c r="L59" i="8"/>
  <c r="M59" i="8"/>
  <c r="N59" i="8"/>
  <c r="D52" i="8"/>
  <c r="E52" i="8"/>
  <c r="F52" i="8"/>
  <c r="G52" i="8"/>
  <c r="H52" i="8"/>
  <c r="I52" i="8"/>
  <c r="J52" i="8"/>
  <c r="K52" i="8"/>
  <c r="L52" i="8"/>
  <c r="M52" i="8"/>
  <c r="N52" i="8"/>
  <c r="C52" i="8"/>
  <c r="D44" i="8"/>
  <c r="H44" i="8"/>
  <c r="L44" i="8"/>
  <c r="C44" i="8"/>
  <c r="D36" i="8"/>
  <c r="E36" i="8"/>
  <c r="H36" i="8"/>
  <c r="I36" i="8"/>
  <c r="L36" i="8"/>
  <c r="M36" i="8"/>
  <c r="C36" i="8"/>
  <c r="C21" i="8"/>
  <c r="D14" i="8"/>
  <c r="E14" i="8"/>
  <c r="H14" i="8"/>
  <c r="I14" i="8"/>
  <c r="L14" i="8"/>
  <c r="M14" i="8"/>
  <c r="C14" i="8"/>
  <c r="D7" i="8"/>
  <c r="F7" i="8"/>
  <c r="H7" i="8"/>
  <c r="I7" i="8"/>
  <c r="J7" i="8"/>
  <c r="L7" i="8"/>
  <c r="M7" i="8"/>
  <c r="N7" i="8"/>
  <c r="C7" i="8"/>
  <c r="D11" i="7" l="1"/>
  <c r="E11" i="7"/>
  <c r="F11" i="7"/>
  <c r="G11" i="7"/>
  <c r="H11" i="7"/>
  <c r="I11" i="7"/>
  <c r="J11" i="7"/>
  <c r="J35" i="7" s="1"/>
  <c r="K11" i="7"/>
  <c r="K35" i="7" s="1"/>
  <c r="L11" i="7"/>
  <c r="M11" i="7"/>
  <c r="N11" i="7"/>
  <c r="C11" i="7"/>
  <c r="E8" i="7"/>
  <c r="F8" i="7"/>
  <c r="G8" i="7"/>
  <c r="H8" i="7"/>
  <c r="I8" i="7"/>
  <c r="J8" i="7"/>
  <c r="K8" i="7"/>
  <c r="L8" i="7"/>
  <c r="M8" i="7"/>
  <c r="N8" i="7"/>
  <c r="D8" i="7"/>
  <c r="C8" i="7"/>
  <c r="D36" i="7"/>
  <c r="G36" i="7"/>
  <c r="H36" i="7"/>
  <c r="K36" i="7"/>
  <c r="L36" i="7"/>
  <c r="D37" i="7"/>
  <c r="H37" i="7"/>
  <c r="L37" i="7"/>
  <c r="C36" i="7"/>
  <c r="D35" i="7"/>
  <c r="E35" i="7"/>
  <c r="F35" i="7"/>
  <c r="G35" i="7"/>
  <c r="H35" i="7"/>
  <c r="I35" i="7"/>
  <c r="L35" i="7"/>
  <c r="M35" i="7"/>
  <c r="N35" i="7"/>
  <c r="C35" i="7"/>
  <c r="D27" i="7"/>
  <c r="E27" i="7"/>
  <c r="E37" i="7" s="1"/>
  <c r="F27" i="7"/>
  <c r="F37" i="7" s="1"/>
  <c r="G27" i="7"/>
  <c r="G37" i="7" s="1"/>
  <c r="H27" i="7"/>
  <c r="I27" i="7"/>
  <c r="I37" i="7" s="1"/>
  <c r="J27" i="7"/>
  <c r="J37" i="7" s="1"/>
  <c r="K27" i="7"/>
  <c r="K37" i="7" s="1"/>
  <c r="L27" i="7"/>
  <c r="M27" i="7"/>
  <c r="M37" i="7" s="1"/>
  <c r="N27" i="7"/>
  <c r="N37" i="7" s="1"/>
  <c r="C27" i="7"/>
  <c r="C37" i="7" s="1"/>
  <c r="D24" i="7"/>
  <c r="E24" i="7"/>
  <c r="F24" i="7"/>
  <c r="G24" i="7"/>
  <c r="H24" i="7"/>
  <c r="I24" i="7"/>
  <c r="J24" i="7"/>
  <c r="K24" i="7"/>
  <c r="L24" i="7"/>
  <c r="M24" i="7"/>
  <c r="N24" i="7"/>
  <c r="C24" i="7"/>
  <c r="D19" i="7"/>
  <c r="E19" i="7"/>
  <c r="E36" i="7" s="1"/>
  <c r="F19" i="7"/>
  <c r="F36" i="7" s="1"/>
  <c r="G19" i="7"/>
  <c r="H19" i="7"/>
  <c r="I19" i="7"/>
  <c r="I36" i="7" s="1"/>
  <c r="J19" i="7"/>
  <c r="J36" i="7" s="1"/>
  <c r="K19" i="7"/>
  <c r="L19" i="7"/>
  <c r="M19" i="7"/>
  <c r="M36" i="7" s="1"/>
  <c r="N19" i="7"/>
  <c r="N36" i="7" s="1"/>
  <c r="C19" i="7"/>
  <c r="D16" i="7"/>
  <c r="E16" i="7"/>
  <c r="F16" i="7"/>
  <c r="G16" i="7"/>
  <c r="H16" i="7"/>
  <c r="I16" i="7"/>
  <c r="J16" i="7"/>
  <c r="K16" i="7"/>
  <c r="L16" i="7"/>
  <c r="M16" i="7"/>
  <c r="N16" i="7"/>
  <c r="C16" i="7"/>
  <c r="D53" i="4"/>
  <c r="D74" i="4" s="1"/>
  <c r="E53" i="4"/>
  <c r="E74" i="4" s="1"/>
  <c r="F53" i="4"/>
  <c r="F74" i="4" s="1"/>
  <c r="G53" i="4"/>
  <c r="G74" i="4" s="1"/>
  <c r="H53" i="4"/>
  <c r="H74" i="4" s="1"/>
  <c r="I53" i="4"/>
  <c r="I74" i="4" s="1"/>
  <c r="J53" i="4"/>
  <c r="J74" i="4" s="1"/>
  <c r="K53" i="4"/>
  <c r="K74" i="4" s="1"/>
  <c r="L53" i="4"/>
  <c r="L74" i="4" s="1"/>
  <c r="M53" i="4"/>
  <c r="M74" i="4" s="1"/>
  <c r="N53" i="4"/>
  <c r="N74" i="4" s="1"/>
  <c r="D57" i="4"/>
  <c r="D78" i="4" s="1"/>
  <c r="E57" i="4"/>
  <c r="E78" i="4" s="1"/>
  <c r="F57" i="4"/>
  <c r="F78" i="4" s="1"/>
  <c r="G57" i="4"/>
  <c r="G78" i="4" s="1"/>
  <c r="H57" i="4"/>
  <c r="H78" i="4" s="1"/>
  <c r="I57" i="4"/>
  <c r="I78" i="4" s="1"/>
  <c r="J57" i="4"/>
  <c r="J78" i="4" s="1"/>
  <c r="K57" i="4"/>
  <c r="K78" i="4" s="1"/>
  <c r="L57" i="4"/>
  <c r="L78" i="4" s="1"/>
  <c r="M57" i="4"/>
  <c r="M78" i="4" s="1"/>
  <c r="N57" i="4"/>
  <c r="N78" i="4" s="1"/>
  <c r="D61" i="4"/>
  <c r="D82" i="4" s="1"/>
  <c r="E61" i="4"/>
  <c r="E82" i="4" s="1"/>
  <c r="F61" i="4"/>
  <c r="F82" i="4" s="1"/>
  <c r="G61" i="4"/>
  <c r="G82" i="4" s="1"/>
  <c r="H61" i="4"/>
  <c r="H82" i="4" s="1"/>
  <c r="I61" i="4"/>
  <c r="I82" i="4" s="1"/>
  <c r="J61" i="4"/>
  <c r="J82" i="4" s="1"/>
  <c r="K61" i="4"/>
  <c r="K82" i="4" s="1"/>
  <c r="L61" i="4"/>
  <c r="L82" i="4" s="1"/>
  <c r="M61" i="4"/>
  <c r="M82" i="4" s="1"/>
  <c r="N61" i="4"/>
  <c r="N82" i="4" s="1"/>
  <c r="M65" i="4"/>
  <c r="M86" i="4" s="1"/>
  <c r="C53" i="4"/>
  <c r="C74" i="4" s="1"/>
  <c r="C57" i="4"/>
  <c r="C78" i="4" s="1"/>
  <c r="C61" i="4"/>
  <c r="C82" i="4" s="1"/>
  <c r="D45" i="4"/>
  <c r="D28" i="8" s="1"/>
  <c r="E45" i="4"/>
  <c r="E28" i="8" s="1"/>
  <c r="F45" i="4"/>
  <c r="F28" i="8" s="1"/>
  <c r="G45" i="4"/>
  <c r="G28" i="8" s="1"/>
  <c r="H45" i="4"/>
  <c r="H28" i="8" s="1"/>
  <c r="I45" i="4"/>
  <c r="I28" i="8" s="1"/>
  <c r="J45" i="4"/>
  <c r="J28" i="8" s="1"/>
  <c r="K45" i="4"/>
  <c r="K28" i="8" s="1"/>
  <c r="L45" i="4"/>
  <c r="L28" i="8" s="1"/>
  <c r="M45" i="4"/>
  <c r="M28" i="8" s="1"/>
  <c r="N45" i="4"/>
  <c r="N28" i="8" s="1"/>
  <c r="C28" i="8"/>
  <c r="F46" i="3"/>
  <c r="G46" i="3"/>
  <c r="H46" i="3"/>
  <c r="I46" i="3"/>
  <c r="J46" i="3"/>
  <c r="K46" i="3"/>
  <c r="L46" i="3"/>
  <c r="M46" i="3"/>
  <c r="N46" i="3"/>
  <c r="O46" i="3"/>
  <c r="P46" i="3"/>
  <c r="F45" i="3"/>
  <c r="G45" i="3"/>
  <c r="H45" i="3"/>
  <c r="I45" i="3"/>
  <c r="J45" i="3"/>
  <c r="K45" i="3"/>
  <c r="L45" i="3"/>
  <c r="M45" i="3"/>
  <c r="N45" i="3"/>
  <c r="O45" i="3"/>
  <c r="P45" i="3"/>
  <c r="F44" i="3"/>
  <c r="G44" i="3"/>
  <c r="H44" i="3"/>
  <c r="I44" i="3"/>
  <c r="J44" i="3"/>
  <c r="K44" i="3"/>
  <c r="L44" i="3"/>
  <c r="M44" i="3"/>
  <c r="N44" i="3"/>
  <c r="O44" i="3"/>
  <c r="P44" i="3"/>
  <c r="F43" i="3"/>
  <c r="G43" i="3"/>
  <c r="H43" i="3"/>
  <c r="I43" i="3"/>
  <c r="J43" i="3"/>
  <c r="K43" i="3"/>
  <c r="L43" i="3"/>
  <c r="M43" i="3"/>
  <c r="N43" i="3"/>
  <c r="O43" i="3"/>
  <c r="P43" i="3"/>
  <c r="E43" i="3"/>
  <c r="E44" i="3"/>
  <c r="E45" i="3"/>
  <c r="E46" i="3"/>
  <c r="F42" i="3"/>
  <c r="G42" i="3"/>
  <c r="H42" i="3"/>
  <c r="I42" i="3"/>
  <c r="J42" i="3"/>
  <c r="K42" i="3"/>
  <c r="L42" i="3"/>
  <c r="M42" i="3"/>
  <c r="N42" i="3"/>
  <c r="O42" i="3"/>
  <c r="P42" i="3"/>
  <c r="E42" i="3"/>
  <c r="E5" i="3"/>
  <c r="C5" i="5"/>
  <c r="C11" i="4" s="1"/>
  <c r="C38" i="8" s="1"/>
  <c r="P8" i="3"/>
  <c r="O8" i="3"/>
  <c r="N8" i="3"/>
  <c r="M8" i="3"/>
  <c r="L8" i="3"/>
  <c r="K8" i="3"/>
  <c r="J8" i="3"/>
  <c r="I8" i="3"/>
  <c r="H8" i="3"/>
  <c r="G8" i="3"/>
  <c r="F8" i="3"/>
  <c r="E8" i="3"/>
  <c r="P5" i="3"/>
  <c r="P11" i="3" s="1"/>
  <c r="O5" i="3"/>
  <c r="O11" i="3" s="1"/>
  <c r="N5" i="3"/>
  <c r="N11" i="3" s="1"/>
  <c r="M5" i="3"/>
  <c r="M11" i="3" s="1"/>
  <c r="L5" i="3"/>
  <c r="L11" i="3" s="1"/>
  <c r="K5" i="3"/>
  <c r="K11" i="3" s="1"/>
  <c r="J5" i="3"/>
  <c r="J11" i="3" s="1"/>
  <c r="I5" i="3"/>
  <c r="I11" i="3" s="1"/>
  <c r="H5" i="3"/>
  <c r="H11" i="3" s="1"/>
  <c r="G5" i="3"/>
  <c r="G11" i="3" s="1"/>
  <c r="F5" i="3"/>
  <c r="F11" i="3" s="1"/>
  <c r="E47" i="3" l="1"/>
  <c r="E65" i="4"/>
  <c r="E86" i="4" s="1"/>
  <c r="I65" i="4"/>
  <c r="I86" i="4" s="1"/>
  <c r="I32" i="7"/>
  <c r="N65" i="4"/>
  <c r="N86" i="4" s="1"/>
  <c r="F65" i="4"/>
  <c r="F86" i="4" s="1"/>
  <c r="E32" i="7"/>
  <c r="J65" i="4"/>
  <c r="J86" i="4" s="1"/>
  <c r="M32" i="7"/>
  <c r="L65" i="4"/>
  <c r="L86" i="4" s="1"/>
  <c r="H65" i="4"/>
  <c r="H86" i="4" s="1"/>
  <c r="D65" i="4"/>
  <c r="D86" i="4" s="1"/>
  <c r="H32" i="7"/>
  <c r="D32" i="7"/>
  <c r="K65" i="4"/>
  <c r="K86" i="4" s="1"/>
  <c r="G65" i="4"/>
  <c r="G86" i="4" s="1"/>
  <c r="K32" i="7"/>
  <c r="G32" i="7"/>
  <c r="L32" i="7"/>
  <c r="N32" i="7"/>
  <c r="J32" i="7"/>
  <c r="F32" i="7"/>
  <c r="C32" i="7"/>
  <c r="E11" i="3"/>
  <c r="E30" i="4"/>
  <c r="A42" i="4"/>
  <c r="N34" i="4"/>
  <c r="M34" i="4"/>
  <c r="L34" i="4"/>
  <c r="K34" i="4"/>
  <c r="J34" i="4"/>
  <c r="I34" i="4"/>
  <c r="H34" i="4"/>
  <c r="G34" i="4"/>
  <c r="F34" i="4"/>
  <c r="E34" i="4"/>
  <c r="D34" i="4"/>
  <c r="C34" i="4"/>
  <c r="N30" i="4"/>
  <c r="M30" i="4"/>
  <c r="L30" i="4"/>
  <c r="K30" i="4"/>
  <c r="J30" i="4"/>
  <c r="I30" i="4"/>
  <c r="H30" i="4"/>
  <c r="G30" i="4"/>
  <c r="F30" i="4"/>
  <c r="C30" i="4"/>
  <c r="F51" i="2"/>
  <c r="G51" i="2"/>
  <c r="H51" i="2"/>
  <c r="I51" i="2"/>
  <c r="J51" i="2"/>
  <c r="K51" i="2"/>
  <c r="L51" i="2"/>
  <c r="M51" i="2"/>
  <c r="N51" i="2"/>
  <c r="O51" i="2"/>
  <c r="P51" i="2"/>
  <c r="E51" i="2"/>
  <c r="H46" i="2"/>
  <c r="I46" i="2"/>
  <c r="J46" i="2"/>
  <c r="K46" i="2"/>
  <c r="L46" i="2"/>
  <c r="M46" i="2"/>
  <c r="N46" i="2"/>
  <c r="O46" i="2"/>
  <c r="P46" i="2"/>
  <c r="G46" i="2"/>
  <c r="G42" i="2"/>
  <c r="H42" i="2"/>
  <c r="I42" i="2"/>
  <c r="J42" i="2"/>
  <c r="K42" i="2"/>
  <c r="L42" i="2"/>
  <c r="M42" i="2"/>
  <c r="N42" i="2"/>
  <c r="O42" i="2"/>
  <c r="P42" i="2"/>
  <c r="F42" i="2"/>
  <c r="F40" i="2"/>
  <c r="G40" i="2"/>
  <c r="H40" i="2"/>
  <c r="I40" i="2"/>
  <c r="J40" i="2"/>
  <c r="K40" i="2"/>
  <c r="L40" i="2"/>
  <c r="M40" i="2"/>
  <c r="N40" i="2"/>
  <c r="O40" i="2"/>
  <c r="P40" i="2"/>
  <c r="E40" i="2"/>
  <c r="F35" i="2"/>
  <c r="G35" i="2"/>
  <c r="H35" i="2"/>
  <c r="I35" i="2"/>
  <c r="J35" i="2"/>
  <c r="K35" i="2"/>
  <c r="L35" i="2"/>
  <c r="M35" i="2"/>
  <c r="N35" i="2"/>
  <c r="O35" i="2"/>
  <c r="P35" i="2"/>
  <c r="E35" i="2"/>
  <c r="F33" i="2"/>
  <c r="G33" i="2"/>
  <c r="H33" i="2"/>
  <c r="I33" i="2"/>
  <c r="J33" i="2"/>
  <c r="K33" i="2"/>
  <c r="L33" i="2"/>
  <c r="M33" i="2"/>
  <c r="N33" i="2"/>
  <c r="O33" i="2"/>
  <c r="P33" i="2"/>
  <c r="E33" i="2"/>
  <c r="F28" i="2"/>
  <c r="G28" i="2"/>
  <c r="H28" i="2"/>
  <c r="I28" i="2"/>
  <c r="J28" i="2"/>
  <c r="K28" i="2"/>
  <c r="L28" i="2"/>
  <c r="M28" i="2"/>
  <c r="N28" i="2"/>
  <c r="O28" i="2"/>
  <c r="P28" i="2"/>
  <c r="E28" i="2"/>
  <c r="F25" i="2"/>
  <c r="G25" i="2"/>
  <c r="H25" i="2"/>
  <c r="I25" i="2"/>
  <c r="J25" i="2"/>
  <c r="K25" i="2"/>
  <c r="L25" i="2"/>
  <c r="M25" i="2"/>
  <c r="N25" i="2"/>
  <c r="O25" i="2"/>
  <c r="P25" i="2"/>
  <c r="E25" i="2"/>
  <c r="F23" i="2"/>
  <c r="G23" i="2"/>
  <c r="H23" i="2"/>
  <c r="I23" i="2"/>
  <c r="J23" i="2"/>
  <c r="K23" i="2"/>
  <c r="L23" i="2"/>
  <c r="M23" i="2"/>
  <c r="N23" i="2"/>
  <c r="O23" i="2"/>
  <c r="P23" i="2"/>
  <c r="E23" i="2"/>
  <c r="F20" i="2"/>
  <c r="G20" i="2"/>
  <c r="H20" i="2"/>
  <c r="I20" i="2"/>
  <c r="J20" i="2"/>
  <c r="K20" i="2"/>
  <c r="L20" i="2"/>
  <c r="M20" i="2"/>
  <c r="N20" i="2"/>
  <c r="O20" i="2"/>
  <c r="P20" i="2"/>
  <c r="E20" i="2"/>
  <c r="J16" i="2"/>
  <c r="K16" i="2"/>
  <c r="L16" i="2"/>
  <c r="M16" i="2"/>
  <c r="N16" i="2"/>
  <c r="O16" i="2"/>
  <c r="P16" i="2"/>
  <c r="F16" i="2"/>
  <c r="G16" i="2"/>
  <c r="H16" i="2"/>
  <c r="I16" i="2"/>
  <c r="E16" i="2"/>
  <c r="O12" i="2"/>
  <c r="P12" i="2"/>
  <c r="N12" i="2"/>
  <c r="M12" i="2"/>
  <c r="L12" i="2"/>
  <c r="K12" i="2"/>
  <c r="J12" i="2"/>
  <c r="I12" i="2"/>
  <c r="H12" i="2"/>
  <c r="G12" i="2"/>
  <c r="F12" i="2"/>
  <c r="E12" i="2"/>
  <c r="G14" i="2"/>
  <c r="H14" i="2"/>
  <c r="I14" i="2"/>
  <c r="J14" i="2"/>
  <c r="K14" i="2"/>
  <c r="L14" i="2"/>
  <c r="M14" i="2"/>
  <c r="N14" i="2"/>
  <c r="O14" i="2"/>
  <c r="P14" i="2"/>
  <c r="F14" i="2"/>
  <c r="E14" i="2"/>
  <c r="H10" i="8" l="1"/>
  <c r="H17" i="8"/>
  <c r="C10" i="8"/>
  <c r="I10" i="8"/>
  <c r="M10" i="8"/>
  <c r="E17" i="8"/>
  <c r="I17" i="8"/>
  <c r="M17" i="8"/>
  <c r="E10" i="8"/>
  <c r="G10" i="8"/>
  <c r="K10" i="8"/>
  <c r="C17" i="8"/>
  <c r="G17" i="8"/>
  <c r="K17" i="8"/>
  <c r="L10" i="8"/>
  <c r="D17" i="8"/>
  <c r="L17" i="8"/>
  <c r="F10" i="8"/>
  <c r="J10" i="8"/>
  <c r="N10" i="8"/>
  <c r="F17" i="8"/>
  <c r="J17" i="8"/>
  <c r="N17" i="8"/>
  <c r="D30" i="4"/>
  <c r="F17" i="9"/>
  <c r="G17" i="9"/>
  <c r="G18" i="9" s="1"/>
  <c r="H17" i="9"/>
  <c r="I17" i="9"/>
  <c r="I18" i="9" s="1"/>
  <c r="J17" i="9"/>
  <c r="K17" i="9"/>
  <c r="K18" i="9" s="1"/>
  <c r="L17" i="9"/>
  <c r="M17" i="9"/>
  <c r="M18" i="9" s="1"/>
  <c r="N17" i="9"/>
  <c r="O17" i="9"/>
  <c r="O18" i="9" s="1"/>
  <c r="P17" i="9"/>
  <c r="E17" i="9"/>
  <c r="F42" i="9"/>
  <c r="G42" i="9"/>
  <c r="H42" i="9"/>
  <c r="I42" i="9"/>
  <c r="J42" i="9"/>
  <c r="K42" i="9"/>
  <c r="L42" i="9"/>
  <c r="M42" i="9"/>
  <c r="N42" i="9"/>
  <c r="O42" i="9"/>
  <c r="P42" i="9"/>
  <c r="E42" i="9"/>
  <c r="E40" i="9"/>
  <c r="E41" i="9"/>
  <c r="E39" i="9"/>
  <c r="F25" i="9"/>
  <c r="G25" i="9"/>
  <c r="G28" i="9" s="1"/>
  <c r="H25" i="9"/>
  <c r="I25" i="9"/>
  <c r="I28" i="9" s="1"/>
  <c r="J25" i="9"/>
  <c r="K25" i="9"/>
  <c r="K28" i="9" s="1"/>
  <c r="L25" i="9"/>
  <c r="M25" i="9"/>
  <c r="M28" i="9" s="1"/>
  <c r="N25" i="9"/>
  <c r="O25" i="9"/>
  <c r="O28" i="9" s="1"/>
  <c r="P25" i="9"/>
  <c r="F26" i="9"/>
  <c r="F28" i="9" s="1"/>
  <c r="G26" i="9"/>
  <c r="H26" i="9"/>
  <c r="H28" i="9" s="1"/>
  <c r="I26" i="9"/>
  <c r="J26" i="9"/>
  <c r="J28" i="9" s="1"/>
  <c r="K26" i="9"/>
  <c r="L26" i="9"/>
  <c r="L28" i="9" s="1"/>
  <c r="M26" i="9"/>
  <c r="N26" i="9"/>
  <c r="N28" i="9" s="1"/>
  <c r="O26" i="9"/>
  <c r="P26" i="9"/>
  <c r="P28" i="9" s="1"/>
  <c r="F27" i="9"/>
  <c r="G27" i="9"/>
  <c r="H27" i="9"/>
  <c r="I27" i="9"/>
  <c r="J27" i="9"/>
  <c r="K27" i="9"/>
  <c r="L27" i="9"/>
  <c r="M27" i="9"/>
  <c r="N27" i="9"/>
  <c r="O27" i="9"/>
  <c r="P27" i="9"/>
  <c r="E26" i="9"/>
  <c r="E27" i="9"/>
  <c r="E25" i="9"/>
  <c r="G14" i="9"/>
  <c r="H14" i="9"/>
  <c r="H18" i="9" s="1"/>
  <c r="I14" i="9"/>
  <c r="J14" i="9"/>
  <c r="J18" i="9" s="1"/>
  <c r="K14" i="9"/>
  <c r="L14" i="9"/>
  <c r="L18" i="9" s="1"/>
  <c r="M14" i="9"/>
  <c r="N14" i="9"/>
  <c r="N18" i="9" s="1"/>
  <c r="O14" i="9"/>
  <c r="P14" i="9"/>
  <c r="P18" i="9" s="1"/>
  <c r="G15" i="9"/>
  <c r="H15" i="9"/>
  <c r="I15" i="9"/>
  <c r="J15" i="9"/>
  <c r="K15" i="9"/>
  <c r="L15" i="9"/>
  <c r="M15" i="9"/>
  <c r="N15" i="9"/>
  <c r="O15" i="9"/>
  <c r="P15" i="9"/>
  <c r="G16" i="9"/>
  <c r="H16" i="9"/>
  <c r="I16" i="9"/>
  <c r="J16" i="9"/>
  <c r="K16" i="9"/>
  <c r="L16" i="9"/>
  <c r="M16" i="9"/>
  <c r="N16" i="9"/>
  <c r="O16" i="9"/>
  <c r="P16" i="9"/>
  <c r="F14" i="9"/>
  <c r="F18" i="9" s="1"/>
  <c r="F15" i="9"/>
  <c r="F16" i="9"/>
  <c r="E15" i="9"/>
  <c r="E16" i="9"/>
  <c r="E14" i="9"/>
  <c r="E18" i="9" s="1"/>
  <c r="D10" i="8" l="1"/>
  <c r="E28" i="9"/>
  <c r="B69" i="2"/>
  <c r="B68" i="2"/>
  <c r="B67" i="2"/>
  <c r="B66" i="2"/>
  <c r="B64" i="2"/>
  <c r="B63" i="2"/>
  <c r="B62" i="2"/>
  <c r="B61" i="2"/>
  <c r="B60" i="2"/>
  <c r="B59" i="2"/>
  <c r="B58" i="2"/>
  <c r="B57" i="2"/>
  <c r="B56" i="2"/>
  <c r="B55" i="2"/>
  <c r="F8" i="2" l="1"/>
  <c r="G8" i="2"/>
  <c r="H8" i="2"/>
  <c r="I8" i="2"/>
  <c r="J8" i="2"/>
  <c r="K8" i="2"/>
  <c r="L8" i="2"/>
  <c r="M8" i="2"/>
  <c r="N8" i="2"/>
  <c r="O8" i="2"/>
  <c r="P8" i="2"/>
  <c r="E8" i="2"/>
  <c r="B50" i="2"/>
  <c r="B49" i="2"/>
  <c r="B48" i="2"/>
  <c r="B47" i="2"/>
  <c r="B45" i="2"/>
  <c r="B44" i="2"/>
  <c r="B43" i="2"/>
  <c r="B41" i="2" a="1"/>
  <c r="B41" i="2" s="1"/>
  <c r="B39" i="2"/>
  <c r="B38" i="2"/>
  <c r="B37" i="2"/>
  <c r="B36" i="2"/>
  <c r="B34" i="2" a="1"/>
  <c r="B34" i="2" s="1"/>
  <c r="F15" i="3" l="1" a="1"/>
  <c r="F15" i="3" s="1"/>
  <c r="D39" i="4" s="1"/>
  <c r="J15" i="3" a="1"/>
  <c r="J15" i="3" s="1"/>
  <c r="H39" i="4" s="1"/>
  <c r="N15" i="3" a="1"/>
  <c r="N15" i="3" s="1"/>
  <c r="L39" i="4" s="1"/>
  <c r="O16" i="3" a="1"/>
  <c r="O16" i="3" s="1"/>
  <c r="M40" i="4" s="1"/>
  <c r="K16" i="3" a="1"/>
  <c r="K16" i="3" s="1"/>
  <c r="I40" i="4" s="1"/>
  <c r="G16" i="3" a="1"/>
  <c r="G16" i="3" s="1"/>
  <c r="E40" i="4" s="1"/>
  <c r="F10" i="3" a="1"/>
  <c r="F10" i="3" s="1"/>
  <c r="D36" i="4" s="1"/>
  <c r="J10" i="3" a="1"/>
  <c r="J10" i="3" s="1"/>
  <c r="H36" i="4" s="1"/>
  <c r="N10" i="3" a="1"/>
  <c r="N10" i="3" s="1"/>
  <c r="L36" i="4" s="1"/>
  <c r="O9" i="3" a="1"/>
  <c r="O9" i="3" s="1"/>
  <c r="M35" i="4" s="1"/>
  <c r="K9" i="3" a="1"/>
  <c r="K9" i="3" s="1"/>
  <c r="I35" i="4" s="1"/>
  <c r="G9" i="3" a="1"/>
  <c r="G9" i="3" s="1"/>
  <c r="E35" i="4" s="1"/>
  <c r="O7" i="3" a="1"/>
  <c r="K7" i="3" a="1"/>
  <c r="G7" i="3" a="1"/>
  <c r="O6" i="3" a="1"/>
  <c r="O6" i="3" s="1"/>
  <c r="K6" i="3" a="1"/>
  <c r="G6" i="3" a="1"/>
  <c r="K10" i="3" a="1"/>
  <c r="K10" i="3" s="1"/>
  <c r="I36" i="4" s="1"/>
  <c r="O10" i="3" a="1"/>
  <c r="O10" i="3" s="1"/>
  <c r="M36" i="4" s="1"/>
  <c r="J9" i="3" a="1"/>
  <c r="J9" i="3" s="1"/>
  <c r="H35" i="4" s="1"/>
  <c r="G15" i="3" a="1"/>
  <c r="G15" i="3" s="1"/>
  <c r="E39" i="4" s="1"/>
  <c r="K15" i="3" a="1"/>
  <c r="K15" i="3" s="1"/>
  <c r="I39" i="4" s="1"/>
  <c r="O15" i="3" a="1"/>
  <c r="O15" i="3" s="1"/>
  <c r="M39" i="4" s="1"/>
  <c r="N16" i="3" a="1"/>
  <c r="N16" i="3" s="1"/>
  <c r="L40" i="4" s="1"/>
  <c r="J16" i="3" a="1"/>
  <c r="J16" i="3" s="1"/>
  <c r="H40" i="4" s="1"/>
  <c r="F16" i="3" a="1"/>
  <c r="F16" i="3" s="1"/>
  <c r="D40" i="4" s="1"/>
  <c r="G10" i="3" a="1"/>
  <c r="G10" i="3" s="1"/>
  <c r="E36" i="4" s="1"/>
  <c r="H15" i="3" a="1"/>
  <c r="H15" i="3" s="1"/>
  <c r="F39" i="4" s="1"/>
  <c r="L15" i="3" a="1"/>
  <c r="L15" i="3" s="1"/>
  <c r="J39" i="4" s="1"/>
  <c r="P15" i="3" a="1"/>
  <c r="P15" i="3" s="1"/>
  <c r="N39" i="4" s="1"/>
  <c r="M16" i="3" a="1"/>
  <c r="M16" i="3" s="1"/>
  <c r="K40" i="4" s="1"/>
  <c r="I16" i="3" a="1"/>
  <c r="I16" i="3" s="1"/>
  <c r="G40" i="4" s="1"/>
  <c r="E16" i="3" a="1"/>
  <c r="E16" i="3" s="1"/>
  <c r="C40" i="4" s="1"/>
  <c r="H10" i="3" a="1"/>
  <c r="H10" i="3" s="1"/>
  <c r="F36" i="4" s="1"/>
  <c r="L10" i="3" a="1"/>
  <c r="L10" i="3" s="1"/>
  <c r="J36" i="4" s="1"/>
  <c r="P10" i="3" a="1"/>
  <c r="P10" i="3" s="1"/>
  <c r="N36" i="4" s="1"/>
  <c r="M9" i="3" a="1"/>
  <c r="M9" i="3" s="1"/>
  <c r="K35" i="4" s="1"/>
  <c r="I9" i="3" a="1"/>
  <c r="I9" i="3" s="1"/>
  <c r="G35" i="4" s="1"/>
  <c r="E9" i="3" a="1"/>
  <c r="E9" i="3" s="1"/>
  <c r="C35" i="4" s="1"/>
  <c r="M7" i="3" a="1"/>
  <c r="I7" i="3" a="1"/>
  <c r="E7" i="3" a="1"/>
  <c r="M6" i="3" a="1"/>
  <c r="M6" i="3" s="1"/>
  <c r="I6" i="3" a="1"/>
  <c r="E6" i="3" a="1"/>
  <c r="N9" i="3" a="1"/>
  <c r="N9" i="3" s="1"/>
  <c r="L35" i="4" s="1"/>
  <c r="F9" i="3" a="1"/>
  <c r="F9" i="3" s="1"/>
  <c r="D35" i="4" s="1"/>
  <c r="E15" i="3" a="1"/>
  <c r="E15" i="3" s="1"/>
  <c r="C39" i="4" s="1"/>
  <c r="I15" i="3" a="1"/>
  <c r="I15" i="3" s="1"/>
  <c r="G39" i="4" s="1"/>
  <c r="M15" i="3" a="1"/>
  <c r="M15" i="3" s="1"/>
  <c r="K39" i="4" s="1"/>
  <c r="P16" i="3" a="1"/>
  <c r="P16" i="3" s="1"/>
  <c r="N40" i="4" s="1"/>
  <c r="L16" i="3" a="1"/>
  <c r="L16" i="3" s="1"/>
  <c r="J40" i="4" s="1"/>
  <c r="H16" i="3" a="1"/>
  <c r="H16" i="3" s="1"/>
  <c r="F40" i="4" s="1"/>
  <c r="E10" i="3" a="1"/>
  <c r="E10" i="3" s="1"/>
  <c r="C36" i="4" s="1"/>
  <c r="I10" i="3" a="1"/>
  <c r="I10" i="3" s="1"/>
  <c r="G36" i="4" s="1"/>
  <c r="M10" i="3" a="1"/>
  <c r="M10" i="3" s="1"/>
  <c r="K36" i="4" s="1"/>
  <c r="P9" i="3" a="1"/>
  <c r="P9" i="3" s="1"/>
  <c r="N35" i="4" s="1"/>
  <c r="L9" i="3" a="1"/>
  <c r="L9" i="3" s="1"/>
  <c r="J35" i="4" s="1"/>
  <c r="H9" i="3" a="1"/>
  <c r="H9" i="3" s="1"/>
  <c r="F35" i="4" s="1"/>
  <c r="P7" i="3" a="1"/>
  <c r="L7" i="3" a="1"/>
  <c r="H7" i="3" a="1"/>
  <c r="P6" i="3" a="1"/>
  <c r="L6" i="3" a="1"/>
  <c r="H6" i="3" a="1"/>
  <c r="N7" i="3" a="1"/>
  <c r="J6" i="3" a="1"/>
  <c r="J6" i="3" s="1"/>
  <c r="F7" i="3" a="1"/>
  <c r="J7" i="3" a="1"/>
  <c r="J7" i="3" s="1"/>
  <c r="F6" i="3" a="1"/>
  <c r="N6" i="3" a="1"/>
  <c r="N6" i="3" s="1"/>
  <c r="I7" i="3"/>
  <c r="O7" i="3"/>
  <c r="H7" i="3"/>
  <c r="L7" i="3"/>
  <c r="P7" i="3"/>
  <c r="G7" i="3"/>
  <c r="F7" i="3"/>
  <c r="K7" i="3"/>
  <c r="N7" i="3"/>
  <c r="M7" i="3"/>
  <c r="E7" i="3"/>
  <c r="E6" i="3"/>
  <c r="I6" i="3"/>
  <c r="F6" i="3"/>
  <c r="G6" i="3"/>
  <c r="K6" i="3"/>
  <c r="H6" i="3"/>
  <c r="L6" i="3"/>
  <c r="P6" i="3"/>
  <c r="J14" i="3"/>
  <c r="H38" i="4" s="1"/>
  <c r="N14" i="3"/>
  <c r="L38" i="4" s="1"/>
  <c r="G14" i="3"/>
  <c r="E38" i="4" s="1"/>
  <c r="I14" i="3"/>
  <c r="G38" i="4" s="1"/>
  <c r="K14" i="3"/>
  <c r="I38" i="4" s="1"/>
  <c r="O14" i="3"/>
  <c r="M38" i="4" s="1"/>
  <c r="E14" i="3"/>
  <c r="C38" i="4" s="1"/>
  <c r="F14" i="3"/>
  <c r="D38" i="4" s="1"/>
  <c r="H14" i="3"/>
  <c r="F38" i="4" s="1"/>
  <c r="L14" i="3"/>
  <c r="J38" i="4" s="1"/>
  <c r="P14" i="3"/>
  <c r="N38" i="4" s="1"/>
  <c r="M14" i="3"/>
  <c r="K38" i="4" s="1"/>
  <c r="K68" i="2"/>
  <c r="K55" i="2"/>
  <c r="N66" i="2"/>
  <c r="E61" i="2"/>
  <c r="E57" i="2"/>
  <c r="I57" i="2"/>
  <c r="L69" i="2"/>
  <c r="O60" i="2"/>
  <c r="J60" i="2"/>
  <c r="O68" i="2"/>
  <c r="M59" i="2"/>
  <c r="E67" i="2"/>
  <c r="F62" i="2"/>
  <c r="K62" i="2"/>
  <c r="N58" i="2"/>
  <c r="O64" i="2"/>
  <c r="G56" i="2"/>
  <c r="J56" i="2"/>
  <c r="M63" i="2"/>
  <c r="P55" i="2"/>
  <c r="H66" i="2"/>
  <c r="M66" i="2"/>
  <c r="N61" i="2"/>
  <c r="F57" i="2"/>
  <c r="K57" i="2"/>
  <c r="N69" i="2"/>
  <c r="E60" i="2"/>
  <c r="I68" i="2"/>
  <c r="G59" i="2"/>
  <c r="L59" i="2"/>
  <c r="O67" i="2"/>
  <c r="P62" i="2"/>
  <c r="H58" i="2"/>
  <c r="M58" i="2"/>
  <c r="L64" i="2"/>
  <c r="E56" i="2"/>
  <c r="O63" i="2"/>
  <c r="J55" i="2"/>
  <c r="I55" i="2"/>
  <c r="G66" i="2"/>
  <c r="H61" i="2"/>
  <c r="M61" i="2"/>
  <c r="M57" i="2"/>
  <c r="P69" i="2"/>
  <c r="K60" i="2"/>
  <c r="N60" i="2"/>
  <c r="F68" i="2"/>
  <c r="N68" i="2"/>
  <c r="I59" i="2"/>
  <c r="F59" i="2"/>
  <c r="N59" i="2"/>
  <c r="I67" i="2"/>
  <c r="F67" i="2"/>
  <c r="N67" i="2"/>
  <c r="J62" i="2"/>
  <c r="G62" i="2"/>
  <c r="O62" i="2"/>
  <c r="J58" i="2"/>
  <c r="G58" i="2"/>
  <c r="O58" i="2"/>
  <c r="K64" i="2"/>
  <c r="F64" i="2"/>
  <c r="N64" i="2"/>
  <c r="K56" i="2"/>
  <c r="F56" i="2"/>
  <c r="N56" i="2"/>
  <c r="I63" i="2"/>
  <c r="F63" i="2"/>
  <c r="N63" i="2"/>
  <c r="F55" i="2"/>
  <c r="M55" i="2"/>
  <c r="F66" i="2"/>
  <c r="K66" i="2"/>
  <c r="L61" i="2"/>
  <c r="I61" i="2"/>
  <c r="L57" i="2"/>
  <c r="E69" i="2"/>
  <c r="I69" i="2"/>
  <c r="G60" i="2"/>
  <c r="G68" i="2"/>
  <c r="J68" i="2"/>
  <c r="E59" i="2"/>
  <c r="J59" i="2"/>
  <c r="M67" i="2"/>
  <c r="J67" i="2"/>
  <c r="N62" i="2"/>
  <c r="F58" i="2"/>
  <c r="K58" i="2"/>
  <c r="G64" i="2"/>
  <c r="J64" i="2"/>
  <c r="O56" i="2"/>
  <c r="E63" i="2"/>
  <c r="J63" i="2"/>
  <c r="H55" i="2"/>
  <c r="E55" i="2"/>
  <c r="P66" i="2"/>
  <c r="F61" i="2"/>
  <c r="K61" i="2"/>
  <c r="N57" i="2"/>
  <c r="F69" i="2"/>
  <c r="K69" i="2"/>
  <c r="I60" i="2"/>
  <c r="L60" i="2"/>
  <c r="E68" i="2"/>
  <c r="L68" i="2"/>
  <c r="O59" i="2"/>
  <c r="G67" i="2"/>
  <c r="L67" i="2"/>
  <c r="H62" i="2"/>
  <c r="M62" i="2"/>
  <c r="P58" i="2"/>
  <c r="I64" i="2"/>
  <c r="E64" i="2"/>
  <c r="I56" i="2"/>
  <c r="L56" i="2"/>
  <c r="G63" i="2"/>
  <c r="L63" i="2"/>
  <c r="G55" i="2"/>
  <c r="J66" i="2"/>
  <c r="O66" i="2"/>
  <c r="P61" i="2"/>
  <c r="H57" i="2"/>
  <c r="P57" i="2"/>
  <c r="H69" i="2"/>
  <c r="M69" i="2"/>
  <c r="F60" i="2"/>
  <c r="O65" i="2"/>
  <c r="M65" i="2"/>
  <c r="K65" i="2"/>
  <c r="I65" i="2"/>
  <c r="G65" i="2"/>
  <c r="P65" i="2"/>
  <c r="N65" i="2"/>
  <c r="L65" i="2"/>
  <c r="J65" i="2"/>
  <c r="H65" i="2"/>
  <c r="F65" i="2"/>
  <c r="E65" i="2"/>
  <c r="L66" i="2"/>
  <c r="I66" i="2"/>
  <c r="E66" i="2"/>
  <c r="J61" i="2"/>
  <c r="G61" i="2"/>
  <c r="O61" i="2"/>
  <c r="J57" i="2"/>
  <c r="G57" i="2"/>
  <c r="O57" i="2"/>
  <c r="J69" i="2"/>
  <c r="G69" i="2"/>
  <c r="O69" i="2"/>
  <c r="M60" i="2"/>
  <c r="H60" i="2"/>
  <c r="P60" i="2"/>
  <c r="M68" i="2"/>
  <c r="H68" i="2"/>
  <c r="P68" i="2"/>
  <c r="K59" i="2"/>
  <c r="H59" i="2"/>
  <c r="P59" i="2"/>
  <c r="K67" i="2"/>
  <c r="H67" i="2"/>
  <c r="P67" i="2"/>
  <c r="L62" i="2"/>
  <c r="I62" i="2"/>
  <c r="E62" i="2"/>
  <c r="L58" i="2"/>
  <c r="I58" i="2"/>
  <c r="E58" i="2"/>
  <c r="M64" i="2"/>
  <c r="H64" i="2"/>
  <c r="P64" i="2"/>
  <c r="M56" i="2"/>
  <c r="H56" i="2"/>
  <c r="P56" i="2"/>
  <c r="K63" i="2"/>
  <c r="H63" i="2"/>
  <c r="P63" i="2"/>
  <c r="L55" i="2"/>
  <c r="N55" i="2"/>
  <c r="O55" i="2"/>
  <c r="C42" i="5"/>
  <c r="C43" i="5"/>
  <c r="C44" i="5"/>
  <c r="C45" i="5"/>
  <c r="D11" i="5"/>
  <c r="D17" i="4" s="1"/>
  <c r="E11" i="5"/>
  <c r="E17" i="4" s="1"/>
  <c r="F11" i="5"/>
  <c r="F17" i="4" s="1"/>
  <c r="G11" i="5"/>
  <c r="G17" i="4" s="1"/>
  <c r="H11" i="5"/>
  <c r="H17" i="4" s="1"/>
  <c r="I11" i="5"/>
  <c r="I17" i="4" s="1"/>
  <c r="J11" i="5"/>
  <c r="J17" i="4" s="1"/>
  <c r="K11" i="5"/>
  <c r="K17" i="4" s="1"/>
  <c r="L11" i="5"/>
  <c r="L17" i="4" s="1"/>
  <c r="M11" i="5"/>
  <c r="M17" i="4" s="1"/>
  <c r="N11" i="5"/>
  <c r="N17" i="4" s="1"/>
  <c r="D12" i="5"/>
  <c r="D18" i="4" s="1"/>
  <c r="D53" i="8" s="1"/>
  <c r="E12" i="5"/>
  <c r="E18" i="4" s="1"/>
  <c r="E53" i="8" s="1"/>
  <c r="F12" i="5"/>
  <c r="F18" i="4" s="1"/>
  <c r="F53" i="8" s="1"/>
  <c r="G12" i="5"/>
  <c r="G18" i="4" s="1"/>
  <c r="G53" i="8" s="1"/>
  <c r="H12" i="5"/>
  <c r="H18" i="4" s="1"/>
  <c r="H53" i="8" s="1"/>
  <c r="I12" i="5"/>
  <c r="I18" i="4" s="1"/>
  <c r="I53" i="8" s="1"/>
  <c r="J12" i="5"/>
  <c r="J18" i="4" s="1"/>
  <c r="J53" i="8" s="1"/>
  <c r="K12" i="5"/>
  <c r="K18" i="4" s="1"/>
  <c r="K53" i="8" s="1"/>
  <c r="L12" i="5"/>
  <c r="L18" i="4" s="1"/>
  <c r="L53" i="8" s="1"/>
  <c r="M12" i="5"/>
  <c r="M18" i="4" s="1"/>
  <c r="M53" i="8" s="1"/>
  <c r="N12" i="5"/>
  <c r="N18" i="4" s="1"/>
  <c r="N53" i="8" s="1"/>
  <c r="D13" i="5"/>
  <c r="D19" i="4" s="1"/>
  <c r="D54" i="8" s="1"/>
  <c r="E13" i="5"/>
  <c r="E19" i="4" s="1"/>
  <c r="E54" i="8" s="1"/>
  <c r="F13" i="5"/>
  <c r="F19" i="4" s="1"/>
  <c r="F54" i="8" s="1"/>
  <c r="G13" i="5"/>
  <c r="G19" i="4" s="1"/>
  <c r="G54" i="8" s="1"/>
  <c r="H13" i="5"/>
  <c r="H19" i="4" s="1"/>
  <c r="H54" i="8" s="1"/>
  <c r="I13" i="5"/>
  <c r="I19" i="4" s="1"/>
  <c r="I54" i="8" s="1"/>
  <c r="J13" i="5"/>
  <c r="J19" i="4" s="1"/>
  <c r="J54" i="8" s="1"/>
  <c r="K13" i="5"/>
  <c r="K19" i="4" s="1"/>
  <c r="K54" i="8" s="1"/>
  <c r="L13" i="5"/>
  <c r="L19" i="4" s="1"/>
  <c r="L54" i="8" s="1"/>
  <c r="M13" i="5"/>
  <c r="M19" i="4" s="1"/>
  <c r="M54" i="8" s="1"/>
  <c r="N13" i="5"/>
  <c r="N19" i="4" s="1"/>
  <c r="N54" i="8" s="1"/>
  <c r="C13" i="5"/>
  <c r="C19" i="4" s="1"/>
  <c r="C54" i="8" s="1"/>
  <c r="C12" i="5"/>
  <c r="C18" i="4" s="1"/>
  <c r="C53" i="8" s="1"/>
  <c r="C11" i="5"/>
  <c r="C17" i="4" s="1"/>
  <c r="D8" i="5"/>
  <c r="D14" i="4" s="1"/>
  <c r="D45" i="8" s="1"/>
  <c r="E8" i="5"/>
  <c r="E14" i="4" s="1"/>
  <c r="E45" i="8" s="1"/>
  <c r="F8" i="5"/>
  <c r="F14" i="4" s="1"/>
  <c r="F45" i="8" s="1"/>
  <c r="G8" i="5"/>
  <c r="G14" i="4" s="1"/>
  <c r="G45" i="8" s="1"/>
  <c r="H8" i="5"/>
  <c r="H14" i="4" s="1"/>
  <c r="H45" i="8" s="1"/>
  <c r="I8" i="5"/>
  <c r="I14" i="4" s="1"/>
  <c r="I45" i="8" s="1"/>
  <c r="J8" i="5"/>
  <c r="J14" i="4" s="1"/>
  <c r="J45" i="8" s="1"/>
  <c r="K8" i="5"/>
  <c r="K14" i="4" s="1"/>
  <c r="K45" i="8" s="1"/>
  <c r="L8" i="5"/>
  <c r="L14" i="4" s="1"/>
  <c r="L45" i="8" s="1"/>
  <c r="M8" i="5"/>
  <c r="M14" i="4" s="1"/>
  <c r="M45" i="8" s="1"/>
  <c r="N8" i="5"/>
  <c r="N14" i="4" s="1"/>
  <c r="N45" i="8" s="1"/>
  <c r="D9" i="5"/>
  <c r="D15" i="4" s="1"/>
  <c r="D46" i="8" s="1"/>
  <c r="E9" i="5"/>
  <c r="E15" i="4" s="1"/>
  <c r="E46" i="8" s="1"/>
  <c r="F9" i="5"/>
  <c r="F15" i="4" s="1"/>
  <c r="F46" i="8" s="1"/>
  <c r="G9" i="5"/>
  <c r="G15" i="4" s="1"/>
  <c r="G46" i="8" s="1"/>
  <c r="H9" i="5"/>
  <c r="H15" i="4" s="1"/>
  <c r="H46" i="8" s="1"/>
  <c r="I9" i="5"/>
  <c r="I15" i="4" s="1"/>
  <c r="I46" i="8" s="1"/>
  <c r="J9" i="5"/>
  <c r="J15" i="4" s="1"/>
  <c r="J46" i="8" s="1"/>
  <c r="K9" i="5"/>
  <c r="K15" i="4" s="1"/>
  <c r="K46" i="8" s="1"/>
  <c r="L9" i="5"/>
  <c r="L15" i="4" s="1"/>
  <c r="L46" i="8" s="1"/>
  <c r="M9" i="5"/>
  <c r="M15" i="4" s="1"/>
  <c r="M46" i="8" s="1"/>
  <c r="N9" i="5"/>
  <c r="N15" i="4" s="1"/>
  <c r="N46" i="8" s="1"/>
  <c r="C9" i="5"/>
  <c r="C15" i="4" s="1"/>
  <c r="C46" i="8" s="1"/>
  <c r="C8" i="5"/>
  <c r="C14" i="4" s="1"/>
  <c r="C45" i="8" s="1"/>
  <c r="D7" i="5"/>
  <c r="D13" i="4" s="1"/>
  <c r="E7" i="5"/>
  <c r="E13" i="4" s="1"/>
  <c r="F7" i="5"/>
  <c r="F13" i="4" s="1"/>
  <c r="G7" i="5"/>
  <c r="G13" i="4" s="1"/>
  <c r="H7" i="5"/>
  <c r="H13" i="4" s="1"/>
  <c r="I7" i="5"/>
  <c r="I13" i="4" s="1"/>
  <c r="J7" i="5"/>
  <c r="J13" i="4" s="1"/>
  <c r="K7" i="5"/>
  <c r="K13" i="4" s="1"/>
  <c r="L7" i="5"/>
  <c r="L13" i="4" s="1"/>
  <c r="M7" i="5"/>
  <c r="M13" i="4" s="1"/>
  <c r="N7" i="5"/>
  <c r="N13" i="4" s="1"/>
  <c r="C7" i="5"/>
  <c r="C13" i="4" s="1"/>
  <c r="C3" i="5"/>
  <c r="C9" i="4" s="1"/>
  <c r="D5" i="5"/>
  <c r="D11" i="4" s="1"/>
  <c r="D38" i="8" s="1"/>
  <c r="E5" i="5"/>
  <c r="E11" i="4" s="1"/>
  <c r="E38" i="8" s="1"/>
  <c r="F5" i="5"/>
  <c r="G5" i="5"/>
  <c r="G11" i="4" s="1"/>
  <c r="G38" i="8" s="1"/>
  <c r="H5" i="5"/>
  <c r="H11" i="4" s="1"/>
  <c r="H38" i="8" s="1"/>
  <c r="I5" i="5"/>
  <c r="I11" i="4" s="1"/>
  <c r="I38" i="8" s="1"/>
  <c r="J5" i="5"/>
  <c r="K5" i="5"/>
  <c r="K11" i="4" s="1"/>
  <c r="K38" i="8" s="1"/>
  <c r="L5" i="5"/>
  <c r="L11" i="4" s="1"/>
  <c r="L38" i="8" s="1"/>
  <c r="M5" i="5"/>
  <c r="M11" i="4" s="1"/>
  <c r="M38" i="8" s="1"/>
  <c r="N5" i="5"/>
  <c r="D4" i="5"/>
  <c r="D10" i="4" s="1"/>
  <c r="D37" i="8" s="1"/>
  <c r="E4" i="5"/>
  <c r="E10" i="4" s="1"/>
  <c r="E37" i="8" s="1"/>
  <c r="F4" i="5"/>
  <c r="F10" i="4" s="1"/>
  <c r="F37" i="8" s="1"/>
  <c r="G4" i="5"/>
  <c r="G10" i="4" s="1"/>
  <c r="G37" i="8" s="1"/>
  <c r="H4" i="5"/>
  <c r="H10" i="4" s="1"/>
  <c r="H37" i="8" s="1"/>
  <c r="I4" i="5"/>
  <c r="I10" i="4" s="1"/>
  <c r="I37" i="8" s="1"/>
  <c r="J4" i="5"/>
  <c r="J10" i="4" s="1"/>
  <c r="J37" i="8" s="1"/>
  <c r="K4" i="5"/>
  <c r="K10" i="4" s="1"/>
  <c r="K37" i="8" s="1"/>
  <c r="L4" i="5"/>
  <c r="L10" i="4" s="1"/>
  <c r="L37" i="8" s="1"/>
  <c r="M4" i="5"/>
  <c r="M10" i="4" s="1"/>
  <c r="M37" i="8" s="1"/>
  <c r="N4" i="5"/>
  <c r="N10" i="4" s="1"/>
  <c r="N37" i="8" s="1"/>
  <c r="C4" i="5"/>
  <c r="C10" i="4" s="1"/>
  <c r="C37" i="8" s="1"/>
  <c r="D3" i="5"/>
  <c r="D9" i="4" s="1"/>
  <c r="E3" i="5"/>
  <c r="E9" i="4" s="1"/>
  <c r="F3" i="5"/>
  <c r="F9" i="4" s="1"/>
  <c r="G3" i="5"/>
  <c r="G9" i="4" s="1"/>
  <c r="H3" i="5"/>
  <c r="H9" i="4" s="1"/>
  <c r="I3" i="5"/>
  <c r="I9" i="4" s="1"/>
  <c r="J3" i="5"/>
  <c r="J9" i="4" s="1"/>
  <c r="K3" i="5"/>
  <c r="K9" i="4" s="1"/>
  <c r="L3" i="5"/>
  <c r="M3" i="5"/>
  <c r="M9" i="4" s="1"/>
  <c r="N3" i="5"/>
  <c r="N9" i="4" s="1"/>
  <c r="H44" i="9"/>
  <c r="I44" i="9"/>
  <c r="J44" i="9"/>
  <c r="K44" i="9"/>
  <c r="L44" i="9"/>
  <c r="M44" i="9"/>
  <c r="N44" i="9"/>
  <c r="O44" i="9"/>
  <c r="P44" i="9"/>
  <c r="H45" i="9"/>
  <c r="I45" i="9"/>
  <c r="J45" i="9"/>
  <c r="K45" i="9"/>
  <c r="L45" i="9"/>
  <c r="M45" i="9"/>
  <c r="N45" i="9"/>
  <c r="O45" i="9"/>
  <c r="P45" i="9"/>
  <c r="H46" i="9"/>
  <c r="I46" i="9"/>
  <c r="J46" i="9"/>
  <c r="K46" i="9"/>
  <c r="L46" i="9"/>
  <c r="M46" i="9"/>
  <c r="N46" i="9"/>
  <c r="O46" i="9"/>
  <c r="P46" i="9"/>
  <c r="H47" i="9"/>
  <c r="I47" i="9"/>
  <c r="J47" i="9"/>
  <c r="K47" i="9"/>
  <c r="L47" i="9"/>
  <c r="M47" i="9"/>
  <c r="N47" i="9"/>
  <c r="O47" i="9"/>
  <c r="P47" i="9"/>
  <c r="H48" i="9"/>
  <c r="I48" i="9"/>
  <c r="J48" i="9"/>
  <c r="K48" i="9"/>
  <c r="L48" i="9"/>
  <c r="M48" i="9"/>
  <c r="N48" i="9"/>
  <c r="O48" i="9"/>
  <c r="P48" i="9"/>
  <c r="H49" i="9"/>
  <c r="I49" i="9"/>
  <c r="J49" i="9"/>
  <c r="K49" i="9"/>
  <c r="L49" i="9"/>
  <c r="M49" i="9"/>
  <c r="N49" i="9"/>
  <c r="O49" i="9"/>
  <c r="P49" i="9"/>
  <c r="H50" i="9"/>
  <c r="I50" i="9"/>
  <c r="J50" i="9"/>
  <c r="K50" i="9"/>
  <c r="L50" i="9"/>
  <c r="M50" i="9"/>
  <c r="N50" i="9"/>
  <c r="O50" i="9"/>
  <c r="P50" i="9"/>
  <c r="H51" i="9"/>
  <c r="I51" i="9"/>
  <c r="J51" i="9"/>
  <c r="K51" i="9"/>
  <c r="L51" i="9"/>
  <c r="M51" i="9"/>
  <c r="N51" i="9"/>
  <c r="O51" i="9"/>
  <c r="P51" i="9"/>
  <c r="H52" i="9"/>
  <c r="I52" i="9"/>
  <c r="J52" i="9"/>
  <c r="K52" i="9"/>
  <c r="L52" i="9"/>
  <c r="M52" i="9"/>
  <c r="N52" i="9"/>
  <c r="O52" i="9"/>
  <c r="P52" i="9"/>
  <c r="H53" i="9"/>
  <c r="I53" i="9"/>
  <c r="J53" i="9"/>
  <c r="K53" i="9"/>
  <c r="L53" i="9"/>
  <c r="M53" i="9"/>
  <c r="N53" i="9"/>
  <c r="O53" i="9"/>
  <c r="P53" i="9"/>
  <c r="H54" i="9"/>
  <c r="I54" i="9"/>
  <c r="J54" i="9"/>
  <c r="K54" i="9"/>
  <c r="L54" i="9"/>
  <c r="M54" i="9"/>
  <c r="N54" i="9"/>
  <c r="O54" i="9"/>
  <c r="P54" i="9"/>
  <c r="G44" i="9"/>
  <c r="G45" i="9"/>
  <c r="G46" i="9"/>
  <c r="G47" i="9"/>
  <c r="G48" i="9"/>
  <c r="G49" i="9"/>
  <c r="G50" i="9"/>
  <c r="G51" i="9"/>
  <c r="G52" i="9"/>
  <c r="G53" i="9"/>
  <c r="G54" i="9"/>
  <c r="F44" i="9"/>
  <c r="F45" i="9"/>
  <c r="F46" i="9"/>
  <c r="F47" i="9"/>
  <c r="F48" i="9"/>
  <c r="F49" i="9"/>
  <c r="F50" i="9"/>
  <c r="F51" i="9"/>
  <c r="F52" i="9"/>
  <c r="F53" i="9"/>
  <c r="F54" i="9"/>
  <c r="E46" i="9"/>
  <c r="E47" i="9"/>
  <c r="E48" i="9"/>
  <c r="E49" i="9"/>
  <c r="E50" i="9"/>
  <c r="E51" i="9"/>
  <c r="E52" i="9"/>
  <c r="E53" i="9"/>
  <c r="E54" i="9"/>
  <c r="E45" i="9"/>
  <c r="E44" i="9"/>
  <c r="M5" i="6"/>
  <c r="L5" i="6"/>
  <c r="K5" i="6"/>
  <c r="J5" i="6"/>
  <c r="I5" i="6"/>
  <c r="H5" i="6"/>
  <c r="G5" i="6"/>
  <c r="F5" i="6"/>
  <c r="E5" i="6"/>
  <c r="D5" i="6"/>
  <c r="C5" i="6"/>
  <c r="B5" i="6"/>
  <c r="P54" i="2"/>
  <c r="O54" i="2"/>
  <c r="N54" i="2"/>
  <c r="M54" i="2"/>
  <c r="L54" i="2"/>
  <c r="K54" i="2"/>
  <c r="J54" i="2"/>
  <c r="I54" i="2"/>
  <c r="H54" i="2"/>
  <c r="G54" i="2"/>
  <c r="F54" i="2"/>
  <c r="E54" i="2"/>
  <c r="L31" i="4" l="1"/>
  <c r="N12" i="3"/>
  <c r="H31" i="4"/>
  <c r="J12" i="3"/>
  <c r="K31" i="4"/>
  <c r="M12" i="3"/>
  <c r="M31" i="4"/>
  <c r="O12" i="3"/>
  <c r="O18" i="3" s="1"/>
  <c r="H32" i="4"/>
  <c r="J13" i="3"/>
  <c r="G39" i="8"/>
  <c r="G40" i="8" s="1"/>
  <c r="G111" i="8" s="1"/>
  <c r="G50" i="4"/>
  <c r="G71" i="4" s="1"/>
  <c r="F17" i="5"/>
  <c r="F23" i="4" s="1"/>
  <c r="F61" i="8" s="1"/>
  <c r="F11" i="4"/>
  <c r="F38" i="8" s="1"/>
  <c r="C55" i="8"/>
  <c r="C56" i="8" s="1"/>
  <c r="C122" i="8" s="1"/>
  <c r="G55" i="8"/>
  <c r="G56" i="8" s="1"/>
  <c r="G122" i="8" s="1"/>
  <c r="G16" i="8"/>
  <c r="G56" i="4"/>
  <c r="G77" i="4" s="1"/>
  <c r="G18" i="7"/>
  <c r="C15" i="8"/>
  <c r="C55" i="4"/>
  <c r="C76" i="4" s="1"/>
  <c r="C17" i="7"/>
  <c r="E16" i="8"/>
  <c r="E18" i="7"/>
  <c r="E56" i="4"/>
  <c r="E77" i="4" s="1"/>
  <c r="E15" i="8"/>
  <c r="E17" i="7"/>
  <c r="E55" i="4"/>
  <c r="E76" i="4" s="1"/>
  <c r="N39" i="8"/>
  <c r="N50" i="4"/>
  <c r="N71" i="4" s="1"/>
  <c r="J39" i="8"/>
  <c r="J50" i="4"/>
  <c r="J71" i="4" s="1"/>
  <c r="F39" i="8"/>
  <c r="F50" i="4"/>
  <c r="F71" i="4" s="1"/>
  <c r="N47" i="8"/>
  <c r="N48" i="8" s="1"/>
  <c r="N117" i="8" s="1"/>
  <c r="N54" i="4"/>
  <c r="N75" i="4" s="1"/>
  <c r="J47" i="8"/>
  <c r="J48" i="8" s="1"/>
  <c r="J117" i="8" s="1"/>
  <c r="J54" i="4"/>
  <c r="J75" i="4" s="1"/>
  <c r="F47" i="8"/>
  <c r="F48" i="8" s="1"/>
  <c r="F117" i="8" s="1"/>
  <c r="F54" i="4"/>
  <c r="F75" i="4" s="1"/>
  <c r="N55" i="8"/>
  <c r="N56" i="8" s="1"/>
  <c r="N122" i="8" s="1"/>
  <c r="J55" i="8"/>
  <c r="J56" i="8" s="1"/>
  <c r="J122" i="8" s="1"/>
  <c r="F55" i="8"/>
  <c r="F56" i="8" s="1"/>
  <c r="F122" i="8" s="1"/>
  <c r="N24" i="8"/>
  <c r="N58" i="4"/>
  <c r="N79" i="4" s="1"/>
  <c r="N42" i="4"/>
  <c r="C24" i="8"/>
  <c r="C58" i="4"/>
  <c r="C79" i="4" s="1"/>
  <c r="C42" i="4"/>
  <c r="E24" i="8"/>
  <c r="E58" i="4"/>
  <c r="E79" i="4" s="1"/>
  <c r="E42" i="4"/>
  <c r="L12" i="3"/>
  <c r="L18" i="3" s="1"/>
  <c r="J31" i="4"/>
  <c r="I31" i="4"/>
  <c r="K12" i="3"/>
  <c r="K18" i="3" s="1"/>
  <c r="M13" i="3"/>
  <c r="M19" i="3" s="1"/>
  <c r="K32" i="4"/>
  <c r="G13" i="3"/>
  <c r="G19" i="3" s="1"/>
  <c r="E32" i="4"/>
  <c r="H13" i="3"/>
  <c r="H19" i="3" s="1"/>
  <c r="F32" i="4"/>
  <c r="J15" i="8"/>
  <c r="J55" i="4"/>
  <c r="J76" i="4" s="1"/>
  <c r="J17" i="7"/>
  <c r="C16" i="8"/>
  <c r="C56" i="4"/>
  <c r="C77" i="4" s="1"/>
  <c r="C18" i="7"/>
  <c r="K22" i="8"/>
  <c r="K59" i="4"/>
  <c r="K80" i="4" s="1"/>
  <c r="K25" i="7"/>
  <c r="L15" i="8"/>
  <c r="L17" i="7"/>
  <c r="L55" i="4"/>
  <c r="L76" i="4" s="1"/>
  <c r="G15" i="8"/>
  <c r="G55" i="4"/>
  <c r="G76" i="4" s="1"/>
  <c r="G17" i="7"/>
  <c r="F16" i="8"/>
  <c r="F18" i="7"/>
  <c r="F56" i="4"/>
  <c r="F77" i="4" s="1"/>
  <c r="N22" i="8"/>
  <c r="N59" i="4"/>
  <c r="N80" i="4" s="1"/>
  <c r="N25" i="7"/>
  <c r="D23" i="8"/>
  <c r="D60" i="4"/>
  <c r="D81" i="4" s="1"/>
  <c r="D26" i="7"/>
  <c r="I22" i="8"/>
  <c r="I25" i="7"/>
  <c r="I59" i="4"/>
  <c r="I80" i="4" s="1"/>
  <c r="I16" i="8"/>
  <c r="I18" i="7"/>
  <c r="I56" i="4"/>
  <c r="I77" i="4" s="1"/>
  <c r="I15" i="8"/>
  <c r="I17" i="7"/>
  <c r="I55" i="4"/>
  <c r="I76" i="4" s="1"/>
  <c r="D16" i="8"/>
  <c r="D56" i="4"/>
  <c r="D77" i="4" s="1"/>
  <c r="D18" i="7"/>
  <c r="L22" i="8"/>
  <c r="L25" i="7"/>
  <c r="L59" i="4"/>
  <c r="L80" i="4" s="1"/>
  <c r="K39" i="8"/>
  <c r="K40" i="8" s="1"/>
  <c r="K111" i="8" s="1"/>
  <c r="K50" i="4"/>
  <c r="K71" i="4" s="1"/>
  <c r="J17" i="5"/>
  <c r="J23" i="4" s="1"/>
  <c r="J61" i="8" s="1"/>
  <c r="J11" i="4"/>
  <c r="J38" i="8" s="1"/>
  <c r="K47" i="8"/>
  <c r="K48" i="8" s="1"/>
  <c r="K117" i="8" s="1"/>
  <c r="K54" i="4"/>
  <c r="K75" i="4" s="1"/>
  <c r="G47" i="8"/>
  <c r="G48" i="8" s="1"/>
  <c r="G117" i="8" s="1"/>
  <c r="G54" i="4"/>
  <c r="G75" i="4" s="1"/>
  <c r="K24" i="8"/>
  <c r="K58" i="4"/>
  <c r="K79" i="4" s="1"/>
  <c r="K42" i="4"/>
  <c r="F15" i="8"/>
  <c r="F55" i="4"/>
  <c r="F76" i="4" s="1"/>
  <c r="F17" i="7"/>
  <c r="D15" i="8"/>
  <c r="D18" i="8" s="1"/>
  <c r="D116" i="8" s="1"/>
  <c r="D17" i="7"/>
  <c r="D55" i="4"/>
  <c r="D76" i="4" s="1"/>
  <c r="J16" i="8"/>
  <c r="J18" i="7"/>
  <c r="J56" i="4"/>
  <c r="J77" i="4" s="1"/>
  <c r="M16" i="8"/>
  <c r="M18" i="7"/>
  <c r="M56" i="4"/>
  <c r="M77" i="4" s="1"/>
  <c r="H16" i="8"/>
  <c r="H56" i="4"/>
  <c r="H77" i="4" s="1"/>
  <c r="H18" i="7"/>
  <c r="M39" i="8"/>
  <c r="M40" i="8" s="1"/>
  <c r="M111" i="8" s="1"/>
  <c r="M50" i="4"/>
  <c r="M71" i="4" s="1"/>
  <c r="I39" i="8"/>
  <c r="I40" i="8" s="1"/>
  <c r="I111" i="8" s="1"/>
  <c r="I50" i="4"/>
  <c r="I71" i="4" s="1"/>
  <c r="E39" i="8"/>
  <c r="E40" i="8" s="1"/>
  <c r="E111" i="8" s="1"/>
  <c r="E50" i="4"/>
  <c r="E71" i="4" s="1"/>
  <c r="M47" i="8"/>
  <c r="M48" i="8" s="1"/>
  <c r="M117" i="8" s="1"/>
  <c r="M54" i="4"/>
  <c r="M75" i="4" s="1"/>
  <c r="I47" i="8"/>
  <c r="I48" i="8" s="1"/>
  <c r="I117" i="8" s="1"/>
  <c r="I54" i="4"/>
  <c r="I75" i="4" s="1"/>
  <c r="E47" i="8"/>
  <c r="E48" i="8" s="1"/>
  <c r="E117" i="8" s="1"/>
  <c r="E54" i="4"/>
  <c r="E75" i="4" s="1"/>
  <c r="M55" i="8"/>
  <c r="M56" i="8" s="1"/>
  <c r="M122" i="8" s="1"/>
  <c r="I55" i="8"/>
  <c r="I56" i="8" s="1"/>
  <c r="I122" i="8" s="1"/>
  <c r="E55" i="8"/>
  <c r="E56" i="8" s="1"/>
  <c r="E122" i="8" s="1"/>
  <c r="J24" i="8"/>
  <c r="J58" i="4"/>
  <c r="J79" i="4" s="1"/>
  <c r="J42" i="4"/>
  <c r="M24" i="8"/>
  <c r="M58" i="4"/>
  <c r="M79" i="4" s="1"/>
  <c r="M42" i="4"/>
  <c r="L24" i="8"/>
  <c r="L58" i="4"/>
  <c r="L79" i="4" s="1"/>
  <c r="L42" i="4"/>
  <c r="H12" i="3"/>
  <c r="H18" i="3" s="1"/>
  <c r="F31" i="4"/>
  <c r="E31" i="4"/>
  <c r="G12" i="3"/>
  <c r="G18" i="3" s="1"/>
  <c r="G31" i="4"/>
  <c r="I12" i="3"/>
  <c r="L32" i="4"/>
  <c r="N13" i="3"/>
  <c r="P13" i="3"/>
  <c r="P19" i="3" s="1"/>
  <c r="N32" i="4"/>
  <c r="O13" i="3"/>
  <c r="O19" i="3" s="1"/>
  <c r="M32" i="4"/>
  <c r="N15" i="8"/>
  <c r="N55" i="4"/>
  <c r="N76" i="4" s="1"/>
  <c r="N17" i="7"/>
  <c r="F23" i="8"/>
  <c r="F26" i="7"/>
  <c r="F60" i="4"/>
  <c r="F81" i="4" s="1"/>
  <c r="G22" i="8"/>
  <c r="G59" i="4"/>
  <c r="G80" i="4" s="1"/>
  <c r="G25" i="7"/>
  <c r="K15" i="8"/>
  <c r="K55" i="4"/>
  <c r="K76" i="4" s="1"/>
  <c r="K17" i="7"/>
  <c r="C23" i="8"/>
  <c r="C60" i="4"/>
  <c r="C81" i="4" s="1"/>
  <c r="C26" i="7"/>
  <c r="J22" i="8"/>
  <c r="J59" i="4"/>
  <c r="J80" i="4" s="1"/>
  <c r="J25" i="7"/>
  <c r="H23" i="8"/>
  <c r="H60" i="4"/>
  <c r="H81" i="4" s="1"/>
  <c r="H26" i="7"/>
  <c r="E22" i="8"/>
  <c r="E25" i="7"/>
  <c r="E59" i="4"/>
  <c r="E80" i="4" s="1"/>
  <c r="M15" i="8"/>
  <c r="M17" i="7"/>
  <c r="M55" i="4"/>
  <c r="M76" i="4" s="1"/>
  <c r="E23" i="8"/>
  <c r="E26" i="7"/>
  <c r="E60" i="4"/>
  <c r="E81" i="4" s="1"/>
  <c r="H22" i="8"/>
  <c r="H25" i="7"/>
  <c r="H59" i="4"/>
  <c r="H80" i="4" s="1"/>
  <c r="N17" i="5"/>
  <c r="N23" i="4" s="1"/>
  <c r="N61" i="8" s="1"/>
  <c r="N11" i="4"/>
  <c r="N38" i="8" s="1"/>
  <c r="C47" i="8"/>
  <c r="C48" i="8" s="1"/>
  <c r="C117" i="8" s="1"/>
  <c r="C54" i="4"/>
  <c r="C75" i="4" s="1"/>
  <c r="K55" i="8"/>
  <c r="K56" i="8" s="1"/>
  <c r="K122" i="8" s="1"/>
  <c r="D24" i="8"/>
  <c r="D58" i="4"/>
  <c r="D79" i="4" s="1"/>
  <c r="D42" i="4"/>
  <c r="G24" i="8"/>
  <c r="G58" i="4"/>
  <c r="G79" i="4" s="1"/>
  <c r="G42" i="4"/>
  <c r="P12" i="3"/>
  <c r="P18" i="3" s="1"/>
  <c r="N31" i="4"/>
  <c r="D31" i="4"/>
  <c r="F12" i="3"/>
  <c r="C32" i="4"/>
  <c r="E13" i="3"/>
  <c r="E19" i="3" s="1"/>
  <c r="D32" i="4"/>
  <c r="F13" i="3"/>
  <c r="L13" i="3"/>
  <c r="L19" i="3" s="1"/>
  <c r="J32" i="4"/>
  <c r="N23" i="8"/>
  <c r="N26" i="7"/>
  <c r="N60" i="4"/>
  <c r="N81" i="4" s="1"/>
  <c r="K23" i="8"/>
  <c r="K60" i="4"/>
  <c r="K81" i="4" s="1"/>
  <c r="K26" i="7"/>
  <c r="M22" i="8"/>
  <c r="M25" i="7"/>
  <c r="M59" i="4"/>
  <c r="M80" i="4" s="1"/>
  <c r="M23" i="8"/>
  <c r="M26" i="7"/>
  <c r="M60" i="4"/>
  <c r="M81" i="4" s="1"/>
  <c r="L15" i="5"/>
  <c r="L21" i="4" s="1"/>
  <c r="L9" i="4"/>
  <c r="H39" i="8"/>
  <c r="H40" i="8" s="1"/>
  <c r="H111" i="8" s="1"/>
  <c r="H50" i="4"/>
  <c r="H71" i="4" s="1"/>
  <c r="D39" i="8"/>
  <c r="D40" i="8" s="1"/>
  <c r="D111" i="8" s="1"/>
  <c r="D50" i="4"/>
  <c r="D71" i="4" s="1"/>
  <c r="C39" i="8"/>
  <c r="C40" i="8" s="1"/>
  <c r="C111" i="8" s="1"/>
  <c r="C50" i="4"/>
  <c r="C71" i="4" s="1"/>
  <c r="L47" i="8"/>
  <c r="L48" i="8" s="1"/>
  <c r="L117" i="8" s="1"/>
  <c r="L54" i="4"/>
  <c r="L75" i="4" s="1"/>
  <c r="H47" i="8"/>
  <c r="H48" i="8" s="1"/>
  <c r="H117" i="8" s="1"/>
  <c r="H54" i="4"/>
  <c r="H75" i="4" s="1"/>
  <c r="D47" i="8"/>
  <c r="D48" i="8" s="1"/>
  <c r="D117" i="8" s="1"/>
  <c r="D54" i="4"/>
  <c r="D75" i="4" s="1"/>
  <c r="L55" i="8"/>
  <c r="L56" i="8" s="1"/>
  <c r="L122" i="8" s="1"/>
  <c r="H55" i="8"/>
  <c r="H56" i="8" s="1"/>
  <c r="H122" i="8" s="1"/>
  <c r="D55" i="8"/>
  <c r="D56" i="8" s="1"/>
  <c r="D122" i="8" s="1"/>
  <c r="C46" i="5"/>
  <c r="C24" i="4"/>
  <c r="F24" i="8"/>
  <c r="F58" i="4"/>
  <c r="F79" i="4" s="1"/>
  <c r="F42" i="4"/>
  <c r="I24" i="8"/>
  <c r="I58" i="4"/>
  <c r="I79" i="4" s="1"/>
  <c r="I42" i="4"/>
  <c r="H24" i="8"/>
  <c r="H58" i="4"/>
  <c r="H79" i="4" s="1"/>
  <c r="H42" i="4"/>
  <c r="C31" i="4"/>
  <c r="E12" i="3"/>
  <c r="K13" i="3"/>
  <c r="K19" i="3" s="1"/>
  <c r="I32" i="4"/>
  <c r="I13" i="3"/>
  <c r="I19" i="3" s="1"/>
  <c r="G32" i="4"/>
  <c r="K16" i="8"/>
  <c r="K56" i="4"/>
  <c r="K77" i="4" s="1"/>
  <c r="K18" i="7"/>
  <c r="J23" i="8"/>
  <c r="J26" i="7"/>
  <c r="J60" i="4"/>
  <c r="J81" i="4" s="1"/>
  <c r="C22" i="8"/>
  <c r="C59" i="4"/>
  <c r="C80" i="4" s="1"/>
  <c r="C25" i="7"/>
  <c r="N16" i="8"/>
  <c r="N18" i="7"/>
  <c r="N56" i="4"/>
  <c r="N77" i="4" s="1"/>
  <c r="G23" i="8"/>
  <c r="G60" i="4"/>
  <c r="G81" i="4" s="1"/>
  <c r="G26" i="7"/>
  <c r="F22" i="8"/>
  <c r="F59" i="4"/>
  <c r="F80" i="4" s="1"/>
  <c r="F25" i="7"/>
  <c r="L23" i="8"/>
  <c r="L60" i="4"/>
  <c r="L81" i="4" s="1"/>
  <c r="L26" i="7"/>
  <c r="H15" i="8"/>
  <c r="H18" i="8" s="1"/>
  <c r="H116" i="8" s="1"/>
  <c r="H17" i="7"/>
  <c r="H55" i="4"/>
  <c r="H76" i="4" s="1"/>
  <c r="L16" i="8"/>
  <c r="L56" i="4"/>
  <c r="L77" i="4" s="1"/>
  <c r="L18" i="7"/>
  <c r="I23" i="8"/>
  <c r="I26" i="7"/>
  <c r="I60" i="4"/>
  <c r="I81" i="4" s="1"/>
  <c r="D22" i="8"/>
  <c r="D25" i="7"/>
  <c r="D59" i="4"/>
  <c r="D80" i="4" s="1"/>
  <c r="M16" i="5"/>
  <c r="M22" i="4" s="1"/>
  <c r="M60" i="8" s="1"/>
  <c r="I16" i="5"/>
  <c r="I22" i="4" s="1"/>
  <c r="I60" i="8" s="1"/>
  <c r="E16" i="5"/>
  <c r="E22" i="4" s="1"/>
  <c r="E60" i="8" s="1"/>
  <c r="M15" i="5"/>
  <c r="M21" i="4" s="1"/>
  <c r="I15" i="5"/>
  <c r="I21" i="4" s="1"/>
  <c r="E15" i="5"/>
  <c r="E21" i="4" s="1"/>
  <c r="C17" i="5"/>
  <c r="C23" i="4" s="1"/>
  <c r="C61" i="8" s="1"/>
  <c r="K17" i="5"/>
  <c r="K23" i="4" s="1"/>
  <c r="K61" i="8" s="1"/>
  <c r="G17" i="5"/>
  <c r="G23" i="4" s="1"/>
  <c r="G61" i="8" s="1"/>
  <c r="M17" i="5"/>
  <c r="M23" i="4" s="1"/>
  <c r="M61" i="8" s="1"/>
  <c r="I17" i="5"/>
  <c r="I23" i="4" s="1"/>
  <c r="I61" i="8" s="1"/>
  <c r="E17" i="5"/>
  <c r="E23" i="4" s="1"/>
  <c r="E61" i="8" s="1"/>
  <c r="N16" i="5"/>
  <c r="N22" i="4" s="1"/>
  <c r="N60" i="8" s="1"/>
  <c r="J16" i="5"/>
  <c r="J22" i="4" s="1"/>
  <c r="J60" i="8" s="1"/>
  <c r="L16" i="5"/>
  <c r="L22" i="4" s="1"/>
  <c r="L60" i="8" s="1"/>
  <c r="H16" i="5"/>
  <c r="H22" i="4" s="1"/>
  <c r="H60" i="8" s="1"/>
  <c r="D16" i="5"/>
  <c r="D22" i="4" s="1"/>
  <c r="D60" i="8" s="1"/>
  <c r="L17" i="5"/>
  <c r="L23" i="4" s="1"/>
  <c r="L61" i="8" s="1"/>
  <c r="H17" i="5"/>
  <c r="H23" i="4" s="1"/>
  <c r="H61" i="8" s="1"/>
  <c r="K15" i="5"/>
  <c r="K21" i="4" s="1"/>
  <c r="G15" i="5"/>
  <c r="G21" i="4" s="1"/>
  <c r="C16" i="5"/>
  <c r="C22" i="4" s="1"/>
  <c r="C60" i="8" s="1"/>
  <c r="K16" i="5"/>
  <c r="K22" i="4" s="1"/>
  <c r="K60" i="8" s="1"/>
  <c r="G16" i="5"/>
  <c r="G22" i="4" s="1"/>
  <c r="G60" i="8" s="1"/>
  <c r="C15" i="5"/>
  <c r="C21" i="4" s="1"/>
  <c r="H15" i="5"/>
  <c r="H21" i="4" s="1"/>
  <c r="N15" i="5"/>
  <c r="N21" i="4" s="1"/>
  <c r="J15" i="5"/>
  <c r="J21" i="4" s="1"/>
  <c r="F15" i="5"/>
  <c r="F21" i="4" s="1"/>
  <c r="F16" i="5"/>
  <c r="F22" i="4" s="1"/>
  <c r="F60" i="8" s="1"/>
  <c r="D17" i="5"/>
  <c r="D23" i="4" s="1"/>
  <c r="D61" i="8" s="1"/>
  <c r="D15" i="5"/>
  <c r="D21" i="4" s="1"/>
  <c r="D120" i="4"/>
  <c r="I120" i="4"/>
  <c r="H120" i="4"/>
  <c r="E120" i="4"/>
  <c r="F120" i="4"/>
  <c r="M120" i="4"/>
  <c r="L120" i="4"/>
  <c r="M17" i="3"/>
  <c r="I17" i="3"/>
  <c r="N18" i="3"/>
  <c r="J18" i="3"/>
  <c r="F18" i="3"/>
  <c r="M18" i="3"/>
  <c r="I18" i="3"/>
  <c r="E18" i="3"/>
  <c r="N19" i="3"/>
  <c r="J19" i="3"/>
  <c r="F19" i="3"/>
  <c r="P17" i="3"/>
  <c r="L17" i="3"/>
  <c r="H17" i="3"/>
  <c r="N17" i="3"/>
  <c r="J17" i="3"/>
  <c r="F17" i="3"/>
  <c r="O17" i="3"/>
  <c r="K17" i="3"/>
  <c r="G17" i="3"/>
  <c r="E17" i="3"/>
  <c r="G120" i="4"/>
  <c r="C120" i="4"/>
  <c r="J120" i="4"/>
  <c r="K120" i="4"/>
  <c r="B120" i="4"/>
  <c r="F40" i="8" l="1"/>
  <c r="F111" i="8" s="1"/>
  <c r="G18" i="8"/>
  <c r="G116" i="8" s="1"/>
  <c r="E25" i="8"/>
  <c r="E121" i="8" s="1"/>
  <c r="E18" i="8"/>
  <c r="E116" i="8" s="1"/>
  <c r="F25" i="8"/>
  <c r="F121" i="8" s="1"/>
  <c r="H62" i="8"/>
  <c r="H63" i="8" s="1"/>
  <c r="H127" i="8" s="1"/>
  <c r="E62" i="8"/>
  <c r="E63" i="8" s="1"/>
  <c r="E127" i="8" s="1"/>
  <c r="D8" i="8"/>
  <c r="C121" i="4" s="1"/>
  <c r="D9" i="7"/>
  <c r="D51" i="4"/>
  <c r="D72" i="4" s="1"/>
  <c r="D43" i="4"/>
  <c r="L9" i="8"/>
  <c r="L10" i="7"/>
  <c r="L52" i="4"/>
  <c r="L73" i="4" s="1"/>
  <c r="L44" i="4"/>
  <c r="C20" i="7"/>
  <c r="N20" i="7"/>
  <c r="G20" i="7"/>
  <c r="F20" i="7"/>
  <c r="I20" i="7"/>
  <c r="K20" i="7"/>
  <c r="J20" i="7"/>
  <c r="M20" i="7"/>
  <c r="L20" i="7"/>
  <c r="H20" i="7"/>
  <c r="D20" i="7"/>
  <c r="E20" i="7"/>
  <c r="H9" i="8"/>
  <c r="G122" i="4" s="1"/>
  <c r="H10" i="7"/>
  <c r="H52" i="4"/>
  <c r="H73" i="4" s="1"/>
  <c r="H44" i="4"/>
  <c r="L8" i="8"/>
  <c r="K121" i="4" s="1"/>
  <c r="L9" i="7"/>
  <c r="L51" i="4"/>
  <c r="L72" i="4" s="1"/>
  <c r="L43" i="4"/>
  <c r="C62" i="8"/>
  <c r="G62" i="8"/>
  <c r="G63" i="8" s="1"/>
  <c r="G127" i="8" s="1"/>
  <c r="I62" i="8"/>
  <c r="I63" i="8" s="1"/>
  <c r="I127" i="8" s="1"/>
  <c r="I9" i="8"/>
  <c r="H122" i="4" s="1"/>
  <c r="I52" i="4"/>
  <c r="I73" i="4" s="1"/>
  <c r="I10" i="7"/>
  <c r="I44" i="4"/>
  <c r="H31" i="8"/>
  <c r="H62" i="4"/>
  <c r="H83" i="4" s="1"/>
  <c r="I31" i="8"/>
  <c r="I62" i="4"/>
  <c r="I83" i="4" s="1"/>
  <c r="F31" i="8"/>
  <c r="F62" i="4"/>
  <c r="F83" i="4" s="1"/>
  <c r="C59" i="8"/>
  <c r="C65" i="4"/>
  <c r="C86" i="4" s="1"/>
  <c r="J9" i="8"/>
  <c r="I122" i="4" s="1"/>
  <c r="J10" i="7"/>
  <c r="J52" i="4"/>
  <c r="J73" i="4" s="1"/>
  <c r="J44" i="4"/>
  <c r="N8" i="8"/>
  <c r="M121" i="4" s="1"/>
  <c r="N9" i="7"/>
  <c r="N51" i="4"/>
  <c r="N72" i="4" s="1"/>
  <c r="N43" i="4"/>
  <c r="D25" i="8"/>
  <c r="D121" i="8" s="1"/>
  <c r="K18" i="8"/>
  <c r="K116" i="8" s="1"/>
  <c r="N9" i="8"/>
  <c r="M122" i="4" s="1"/>
  <c r="N10" i="7"/>
  <c r="N44" i="4"/>
  <c r="N52" i="4"/>
  <c r="N73" i="4" s="1"/>
  <c r="F8" i="8"/>
  <c r="E121" i="4" s="1"/>
  <c r="F9" i="7"/>
  <c r="F51" i="4"/>
  <c r="F72" i="4" s="1"/>
  <c r="F43" i="4"/>
  <c r="L25" i="8"/>
  <c r="L121" i="8" s="1"/>
  <c r="M25" i="8"/>
  <c r="M121" i="8" s="1"/>
  <c r="F18" i="8"/>
  <c r="F116" i="8" s="1"/>
  <c r="K25" i="8"/>
  <c r="K121" i="8" s="1"/>
  <c r="I18" i="8"/>
  <c r="I116" i="8" s="1"/>
  <c r="C25" i="8"/>
  <c r="C121" i="8" s="1"/>
  <c r="N25" i="8"/>
  <c r="N121" i="8" s="1"/>
  <c r="J40" i="8"/>
  <c r="J111" i="8" s="1"/>
  <c r="N40" i="8"/>
  <c r="N111" i="8" s="1"/>
  <c r="L62" i="8"/>
  <c r="L63" i="8" s="1"/>
  <c r="L127" i="8" s="1"/>
  <c r="D9" i="8"/>
  <c r="C122" i="4" s="1"/>
  <c r="D52" i="4"/>
  <c r="D73" i="4" s="1"/>
  <c r="D44" i="4"/>
  <c r="D10" i="7"/>
  <c r="K9" i="8"/>
  <c r="J122" i="4" s="1"/>
  <c r="K52" i="4"/>
  <c r="K73" i="4" s="1"/>
  <c r="K44" i="4"/>
  <c r="K10" i="7"/>
  <c r="K8" i="8"/>
  <c r="J121" i="4" s="1"/>
  <c r="K51" i="4"/>
  <c r="K72" i="4" s="1"/>
  <c r="K43" i="4"/>
  <c r="K9" i="7"/>
  <c r="F62" i="8"/>
  <c r="F63" i="8" s="1"/>
  <c r="F127" i="8" s="1"/>
  <c r="K122" i="4"/>
  <c r="D62" i="8"/>
  <c r="D63" i="8" s="1"/>
  <c r="D127" i="8" s="1"/>
  <c r="J62" i="8"/>
  <c r="J63" i="8" s="1"/>
  <c r="J127" i="8" s="1"/>
  <c r="K62" i="8"/>
  <c r="K63" i="8" s="1"/>
  <c r="K127" i="8" s="1"/>
  <c r="M62" i="8"/>
  <c r="M63" i="8" s="1"/>
  <c r="M127" i="8" s="1"/>
  <c r="K28" i="7"/>
  <c r="J28" i="7"/>
  <c r="M28" i="7"/>
  <c r="H28" i="7"/>
  <c r="D28" i="7"/>
  <c r="C28" i="7"/>
  <c r="L28" i="7"/>
  <c r="G28" i="7"/>
  <c r="F28" i="7"/>
  <c r="I28" i="7"/>
  <c r="E28" i="7"/>
  <c r="N28" i="7"/>
  <c r="C9" i="8"/>
  <c r="B122" i="4" s="1"/>
  <c r="C44" i="4"/>
  <c r="C10" i="7"/>
  <c r="C52" i="4"/>
  <c r="C73" i="4" s="1"/>
  <c r="G25" i="8"/>
  <c r="G121" i="8" s="1"/>
  <c r="M18" i="8"/>
  <c r="M116" i="8" s="1"/>
  <c r="N18" i="8"/>
  <c r="N116" i="8" s="1"/>
  <c r="G8" i="8"/>
  <c r="F121" i="4" s="1"/>
  <c r="G51" i="4"/>
  <c r="G72" i="4" s="1"/>
  <c r="G43" i="4"/>
  <c r="G9" i="7"/>
  <c r="J25" i="8"/>
  <c r="J121" i="8" s="1"/>
  <c r="K31" i="8"/>
  <c r="K62" i="4"/>
  <c r="K83" i="4" s="1"/>
  <c r="L18" i="8"/>
  <c r="L116" i="8" s="1"/>
  <c r="E9" i="8"/>
  <c r="D122" i="4" s="1"/>
  <c r="E10" i="7"/>
  <c r="E44" i="4"/>
  <c r="E52" i="4"/>
  <c r="E73" i="4" s="1"/>
  <c r="E31" i="8"/>
  <c r="E62" i="4"/>
  <c r="E83" i="4" s="1"/>
  <c r="C31" i="8"/>
  <c r="C62" i="4"/>
  <c r="C83" i="4" s="1"/>
  <c r="N31" i="8"/>
  <c r="N62" i="4"/>
  <c r="N83" i="4" s="1"/>
  <c r="C18" i="8"/>
  <c r="C116" i="8" s="1"/>
  <c r="M8" i="8"/>
  <c r="L121" i="4" s="1"/>
  <c r="M9" i="7"/>
  <c r="M51" i="4"/>
  <c r="M72" i="4" s="1"/>
  <c r="M43" i="4"/>
  <c r="H8" i="8"/>
  <c r="H9" i="7"/>
  <c r="H43" i="4"/>
  <c r="H51" i="4"/>
  <c r="H72" i="4" s="1"/>
  <c r="C8" i="8"/>
  <c r="C51" i="4"/>
  <c r="C72" i="4" s="1"/>
  <c r="C43" i="4"/>
  <c r="C9" i="7"/>
  <c r="E8" i="8"/>
  <c r="D121" i="4" s="1"/>
  <c r="E9" i="7"/>
  <c r="E51" i="4"/>
  <c r="E72" i="4" s="1"/>
  <c r="E43" i="4"/>
  <c r="F9" i="8"/>
  <c r="E122" i="4" s="1"/>
  <c r="F10" i="7"/>
  <c r="F44" i="4"/>
  <c r="F52" i="4"/>
  <c r="F73" i="4" s="1"/>
  <c r="J8" i="8"/>
  <c r="I121" i="4" s="1"/>
  <c r="J9" i="7"/>
  <c r="J51" i="4"/>
  <c r="J72" i="4" s="1"/>
  <c r="J43" i="4"/>
  <c r="N62" i="8"/>
  <c r="N63" i="8" s="1"/>
  <c r="N127" i="8" s="1"/>
  <c r="G9" i="8"/>
  <c r="F122" i="4" s="1"/>
  <c r="G52" i="4"/>
  <c r="G73" i="4" s="1"/>
  <c r="G44" i="4"/>
  <c r="G10" i="7"/>
  <c r="H25" i="8"/>
  <c r="H121" i="8" s="1"/>
  <c r="I25" i="8"/>
  <c r="I121" i="8" s="1"/>
  <c r="L39" i="8"/>
  <c r="L40" i="8" s="1"/>
  <c r="L111" i="8" s="1"/>
  <c r="L50" i="4"/>
  <c r="L71" i="4" s="1"/>
  <c r="G31" i="8"/>
  <c r="G62" i="4"/>
  <c r="G83" i="4" s="1"/>
  <c r="D31" i="8"/>
  <c r="D62" i="4"/>
  <c r="D83" i="4" s="1"/>
  <c r="M9" i="8"/>
  <c r="L122" i="4" s="1"/>
  <c r="M44" i="4"/>
  <c r="M10" i="7"/>
  <c r="M52" i="4"/>
  <c r="M73" i="4" s="1"/>
  <c r="L31" i="8"/>
  <c r="L62" i="4"/>
  <c r="L83" i="4" s="1"/>
  <c r="M31" i="8"/>
  <c r="M62" i="4"/>
  <c r="M83" i="4" s="1"/>
  <c r="J31" i="8"/>
  <c r="J62" i="4"/>
  <c r="J83" i="4" s="1"/>
  <c r="J18" i="8"/>
  <c r="J116" i="8" s="1"/>
  <c r="I8" i="8"/>
  <c r="H121" i="4" s="1"/>
  <c r="I9" i="7"/>
  <c r="I43" i="4"/>
  <c r="I51" i="4"/>
  <c r="I72" i="4" s="1"/>
  <c r="G123" i="4"/>
  <c r="L123" i="4"/>
  <c r="I123" i="4"/>
  <c r="J123" i="4"/>
  <c r="F123" i="4"/>
  <c r="D123" i="4"/>
  <c r="M123" i="4"/>
  <c r="C123" i="4"/>
  <c r="H123" i="4"/>
  <c r="E123" i="4"/>
  <c r="B123" i="4"/>
  <c r="L11" i="8" l="1"/>
  <c r="L110" i="8" s="1"/>
  <c r="N11" i="8"/>
  <c r="N110" i="8" s="1"/>
  <c r="H11" i="8"/>
  <c r="D11" i="8"/>
  <c r="C124" i="4" s="1"/>
  <c r="G121" i="4"/>
  <c r="E11" i="8"/>
  <c r="D124" i="4" s="1"/>
  <c r="C11" i="8"/>
  <c r="C110" i="8" s="1"/>
  <c r="J11" i="8"/>
  <c r="J110" i="8" s="1"/>
  <c r="G11" i="8"/>
  <c r="G124" i="4"/>
  <c r="H110" i="8"/>
  <c r="F11" i="8"/>
  <c r="H30" i="8"/>
  <c r="H64" i="4"/>
  <c r="H85" i="4" s="1"/>
  <c r="H34" i="7"/>
  <c r="K123" i="4"/>
  <c r="G30" i="8"/>
  <c r="G34" i="7"/>
  <c r="G64" i="4"/>
  <c r="G85" i="4" s="1"/>
  <c r="E30" i="8"/>
  <c r="E64" i="4"/>
  <c r="E85" i="4" s="1"/>
  <c r="E34" i="7"/>
  <c r="N30" i="8"/>
  <c r="N64" i="4"/>
  <c r="N85" i="4" s="1"/>
  <c r="N34" i="7"/>
  <c r="I30" i="8"/>
  <c r="I34" i="7"/>
  <c r="I64" i="4"/>
  <c r="I85" i="4" s="1"/>
  <c r="C63" i="8"/>
  <c r="C127" i="8" s="1"/>
  <c r="L30" i="8"/>
  <c r="L64" i="4"/>
  <c r="L85" i="4" s="1"/>
  <c r="L34" i="7"/>
  <c r="K11" i="8"/>
  <c r="J29" i="8"/>
  <c r="J63" i="4"/>
  <c r="J84" i="4" s="1"/>
  <c r="J33" i="7"/>
  <c r="E29" i="8"/>
  <c r="E63" i="4"/>
  <c r="E84" i="4" s="1"/>
  <c r="E33" i="7"/>
  <c r="H12" i="7"/>
  <c r="F12" i="7"/>
  <c r="K12" i="7"/>
  <c r="N12" i="7"/>
  <c r="L12" i="7"/>
  <c r="D12" i="7"/>
  <c r="M12" i="7"/>
  <c r="J12" i="7"/>
  <c r="G12" i="7"/>
  <c r="I12" i="7"/>
  <c r="C12" i="7"/>
  <c r="E12" i="7"/>
  <c r="M29" i="8"/>
  <c r="M63" i="4"/>
  <c r="M84" i="4" s="1"/>
  <c r="M33" i="7"/>
  <c r="G29" i="8"/>
  <c r="G63" i="4"/>
  <c r="G84" i="4" s="1"/>
  <c r="G33" i="7"/>
  <c r="C30" i="8"/>
  <c r="C34" i="7"/>
  <c r="C64" i="4"/>
  <c r="C85" i="4" s="1"/>
  <c r="K29" i="8"/>
  <c r="K33" i="7"/>
  <c r="K63" i="4"/>
  <c r="K84" i="4" s="1"/>
  <c r="K30" i="8"/>
  <c r="K64" i="4"/>
  <c r="K85" i="4" s="1"/>
  <c r="K34" i="7"/>
  <c r="D30" i="8"/>
  <c r="D64" i="4"/>
  <c r="D85" i="4" s="1"/>
  <c r="D34" i="7"/>
  <c r="N29" i="8"/>
  <c r="N63" i="4"/>
  <c r="N84" i="4" s="1"/>
  <c r="N33" i="7"/>
  <c r="J30" i="8"/>
  <c r="J32" i="8" s="1"/>
  <c r="J126" i="8" s="1"/>
  <c r="J34" i="7"/>
  <c r="J64" i="4"/>
  <c r="J85" i="4" s="1"/>
  <c r="I29" i="8"/>
  <c r="I32" i="8" s="1"/>
  <c r="I126" i="8" s="1"/>
  <c r="I63" i="4"/>
  <c r="I84" i="4" s="1"/>
  <c r="I33" i="7"/>
  <c r="F29" i="8"/>
  <c r="F63" i="4"/>
  <c r="F84" i="4" s="1"/>
  <c r="F33" i="7"/>
  <c r="L29" i="8"/>
  <c r="L32" i="8" s="1"/>
  <c r="L126" i="8" s="1"/>
  <c r="L33" i="7"/>
  <c r="L63" i="4"/>
  <c r="L84" i="4" s="1"/>
  <c r="D29" i="8"/>
  <c r="D33" i="7"/>
  <c r="D63" i="4"/>
  <c r="D84" i="4" s="1"/>
  <c r="K124" i="4"/>
  <c r="M11" i="8"/>
  <c r="I11" i="8"/>
  <c r="M30" i="8"/>
  <c r="M64" i="4"/>
  <c r="M85" i="4" s="1"/>
  <c r="M34" i="7"/>
  <c r="F30" i="8"/>
  <c r="F34" i="7"/>
  <c r="F64" i="4"/>
  <c r="F85" i="4" s="1"/>
  <c r="C29" i="8"/>
  <c r="C32" i="8" s="1"/>
  <c r="C126" i="8" s="1"/>
  <c r="C63" i="4"/>
  <c r="C84" i="4" s="1"/>
  <c r="C33" i="7"/>
  <c r="H29" i="8"/>
  <c r="H32" i="8" s="1"/>
  <c r="H126" i="8" s="1"/>
  <c r="H63" i="4"/>
  <c r="H84" i="4" s="1"/>
  <c r="H33" i="7"/>
  <c r="B121" i="4"/>
  <c r="D110" i="8" l="1"/>
  <c r="I124" i="4"/>
  <c r="E110" i="8"/>
  <c r="G32" i="8"/>
  <c r="G126" i="8" s="1"/>
  <c r="M124" i="4"/>
  <c r="K32" i="8"/>
  <c r="K126" i="8" s="1"/>
  <c r="M32" i="8"/>
  <c r="M126" i="8" s="1"/>
  <c r="E32" i="8"/>
  <c r="E126" i="8" s="1"/>
  <c r="B124" i="4"/>
  <c r="F32" i="8"/>
  <c r="F126" i="8" s="1"/>
  <c r="D32" i="8"/>
  <c r="D126" i="8" s="1"/>
  <c r="F110" i="8"/>
  <c r="E124" i="4"/>
  <c r="F124" i="4"/>
  <c r="G110" i="8"/>
  <c r="H124" i="4"/>
  <c r="I110" i="8"/>
  <c r="N32" i="8"/>
  <c r="N126" i="8" s="1"/>
  <c r="L124" i="4"/>
  <c r="M110" i="8"/>
  <c r="J124" i="4"/>
  <c r="K110" i="8"/>
  <c r="C38" i="7"/>
  <c r="H38" i="7"/>
  <c r="E38" i="7"/>
  <c r="L38" i="7"/>
  <c r="I38" i="7"/>
  <c r="M38" i="7"/>
  <c r="J38" i="7"/>
  <c r="G38" i="7"/>
  <c r="K38" i="7"/>
  <c r="N38" i="7"/>
  <c r="F38" i="7"/>
  <c r="D38" i="7"/>
</calcChain>
</file>

<file path=xl/sharedStrings.xml><?xml version="1.0" encoding="utf-8"?>
<sst xmlns="http://schemas.openxmlformats.org/spreadsheetml/2006/main" count="1437" uniqueCount="172">
  <si>
    <t>Financial Analysis</t>
  </si>
  <si>
    <t>Welcome to your first formal Financial Analysis Exercise for Unit 5.</t>
  </si>
  <si>
    <t>Note that the Exercises you will be completing are based off a REAL WORLD Client. In this situation, the data is NOT necessarily in an easily accessible format and this is something that as a data analyst, you will have to get used to.</t>
  </si>
  <si>
    <t>It will be challenging and will have you utilise the Excel foundations you have built up in Unit 4.0. (SUMIFS will become a very valuable friend during this exercise!)</t>
  </si>
  <si>
    <t>Let's get started.</t>
  </si>
  <si>
    <t>What do the tab colours mean?</t>
  </si>
  <si>
    <r>
      <t xml:space="preserve">For the tabs titled CC Actuals, Financial Actuals, Variance Analysis, Cost to Produce and EBIT - </t>
    </r>
    <r>
      <rPr>
        <b/>
        <sz val="10"/>
        <color rgb="FF000000"/>
        <rFont val="Arial"/>
        <family val="2"/>
      </rPr>
      <t xml:space="preserve">These are all highlighted with a GREEN Tab. </t>
    </r>
    <r>
      <rPr>
        <sz val="10"/>
        <color rgb="FF000000"/>
        <rFont val="Arial"/>
        <family val="2"/>
      </rPr>
      <t xml:space="preserve">
This is to indicate that you need to complete this worksheet and fill this out.</t>
    </r>
  </si>
  <si>
    <r>
      <t xml:space="preserve">For the Tabs titled Definitions, CC Budget, Financial Budget, Water Production Actuals &amp; Water Production Budget, these represents Tabs you will be referencing when you complete some of the </t>
    </r>
    <r>
      <rPr>
        <b/>
        <sz val="10"/>
        <color theme="0"/>
        <rFont val="Arial"/>
        <family val="2"/>
      </rPr>
      <t xml:space="preserve">variance </t>
    </r>
    <r>
      <rPr>
        <sz val="10"/>
        <color theme="0"/>
        <rFont val="Arial"/>
        <family val="2"/>
      </rPr>
      <t xml:space="preserve">exercises that you will encounter. Refer to the Variance Tab for a detailed breakdown regarding </t>
    </r>
    <r>
      <rPr>
        <b/>
        <sz val="10"/>
        <color theme="0"/>
        <rFont val="Arial"/>
        <family val="2"/>
      </rPr>
      <t>what variance is</t>
    </r>
    <r>
      <rPr>
        <sz val="10"/>
        <color theme="0"/>
        <rFont val="Arial"/>
        <family val="2"/>
      </rPr>
      <t xml:space="preserve"> and how to calculate it.</t>
    </r>
  </si>
  <si>
    <t>How are CC Actuals and Financial Actuals Related in this exercise?</t>
  </si>
  <si>
    <r>
      <t xml:space="preserve">You will note that you have CC ACTUALS and Financial Actuals - these are actually </t>
    </r>
    <r>
      <rPr>
        <b/>
        <u/>
        <sz val="10"/>
        <color rgb="FF000000"/>
        <rFont val="Arial"/>
        <family val="2"/>
      </rPr>
      <t>related.</t>
    </r>
  </si>
  <si>
    <t>Let's unpack how in the below diagram:</t>
  </si>
  <si>
    <t>What is the Cost to Produce and how do I calculate this?</t>
  </si>
  <si>
    <t>Southern Water Corp. like any company has production costs. In essence, the major costs which are used to calculate the Cost to Produce are composed of the Operational Expenses and the Production Costs. When these costs are added together and divided by the Total Amount of Water Production - we get an overall Cost of Production.</t>
  </si>
  <si>
    <r>
      <t xml:space="preserve">This can then be used as a measure to identify how </t>
    </r>
    <r>
      <rPr>
        <b/>
        <sz val="10"/>
        <color rgb="FF000000"/>
        <rFont val="Arial"/>
        <family val="2"/>
      </rPr>
      <t>cost effective</t>
    </r>
    <r>
      <rPr>
        <sz val="10"/>
        <color rgb="FF000000"/>
        <rFont val="Arial"/>
        <family val="2"/>
      </rPr>
      <t xml:space="preserve"> Southern Water Corp. is.</t>
    </r>
  </si>
  <si>
    <t>What is the Water Production Actuals / Budget Tab?</t>
  </si>
  <si>
    <r>
      <t xml:space="preserve">The Water Production Actuals Tab is the amount of Water that is </t>
    </r>
    <r>
      <rPr>
        <b/>
        <sz val="10"/>
        <color rgb="FF000000"/>
        <rFont val="Arial"/>
        <family val="2"/>
      </rPr>
      <t>Produced by Southern Water Corps. Desalination Units.</t>
    </r>
  </si>
  <si>
    <r>
      <t xml:space="preserve">The Water Production Budget is how much the Analysts </t>
    </r>
    <r>
      <rPr>
        <b/>
        <sz val="10"/>
        <color rgb="FF000000"/>
        <rFont val="Arial"/>
        <family val="2"/>
      </rPr>
      <t>believe</t>
    </r>
    <r>
      <rPr>
        <sz val="10"/>
        <color rgb="FF000000"/>
        <rFont val="Arial"/>
        <family val="2"/>
      </rPr>
      <t xml:space="preserve"> can be produced by Southern Water Corp's Desalination Units</t>
    </r>
  </si>
  <si>
    <t>Why are the revenues shown as negative and costs as positive?</t>
  </si>
  <si>
    <t xml:space="preserve">As you work through the case study you may question "Why are Revenue's shown as negative? Is this company losing money?"" </t>
  </si>
  <si>
    <t xml:space="preserve">In this case, the company SW Corp has opted to show its 'revenues' as negative (Debit) and cost as positives (credit) with respect to the balance sheet (i.e. Depending on whether the numbers are shown on the balance sheet or income statement, debits and credits impact will switch).For SW Corp, the company has recorded its revenues via the  Double Entry Book Keeping methodology. </t>
  </si>
  <si>
    <t>By double entry, we mean there are two entries generally ( a debit on one side of the and a credit on the other side so that the books are 'balanced' via the Assets = Liabilities + Owners Equity Equation)."</t>
  </si>
  <si>
    <t>So the revenues are not 'negative', but are actually 'positive' inflows, but due to the 'Debiting' towards the revenue account being represented by a (-) symbol, it can look like the values are negative when they are not.</t>
  </si>
  <si>
    <t>Definitions w.r.t Southern Water Corp Financials</t>
  </si>
  <si>
    <t>Use this definitions table as your reference to understand which cost centres flow into the respective cost category for Southern Water Corp.</t>
  </si>
  <si>
    <t>Revenues</t>
  </si>
  <si>
    <r>
      <t xml:space="preserve">Revenues generated through Sales of Water to Residential, Public and Private Corporations and Individuals. </t>
    </r>
    <r>
      <rPr>
        <b/>
        <sz val="10"/>
        <color theme="0"/>
        <rFont val="Arial"/>
        <family val="2"/>
      </rPr>
      <t>Cost Centres 001, 040, 010</t>
    </r>
    <r>
      <rPr>
        <sz val="10"/>
        <color theme="0"/>
        <rFont val="Arial"/>
        <family val="2"/>
      </rPr>
      <t xml:space="preserve">. </t>
    </r>
    <r>
      <rPr>
        <b/>
        <sz val="10"/>
        <color theme="0"/>
        <rFont val="Arial"/>
        <family val="2"/>
      </rPr>
      <t xml:space="preserve">Cash in is represented by a negative transaction. </t>
    </r>
    <r>
      <rPr>
        <sz val="10"/>
        <color theme="0"/>
        <rFont val="Arial"/>
        <family val="2"/>
      </rPr>
      <t xml:space="preserve">Please note that we aren't saying we have </t>
    </r>
    <r>
      <rPr>
        <b/>
        <sz val="10"/>
        <color theme="0"/>
        <rFont val="Arial"/>
        <family val="2"/>
      </rPr>
      <t>negative</t>
    </r>
    <r>
      <rPr>
        <sz val="10"/>
        <color theme="0"/>
        <rFont val="Arial"/>
        <family val="2"/>
      </rPr>
      <t xml:space="preserve"> revenue, but rather the revenues are 'debited' and this is represented with the - symbol.</t>
    </r>
  </si>
  <si>
    <t>Production Cost</t>
  </si>
  <si>
    <r>
      <t xml:space="preserve">Costs associated with producing desalinated water. </t>
    </r>
    <r>
      <rPr>
        <b/>
        <sz val="10"/>
        <color theme="0"/>
        <rFont val="Arial"/>
        <family val="2"/>
      </rPr>
      <t>Cost Centre 120.</t>
    </r>
    <r>
      <rPr>
        <sz val="10"/>
        <color theme="0"/>
        <rFont val="Arial"/>
        <family val="2"/>
      </rPr>
      <t xml:space="preserve"> Costs are represented by a positive transaction. </t>
    </r>
    <r>
      <rPr>
        <b/>
        <sz val="10"/>
        <color theme="0"/>
        <rFont val="Arial"/>
        <family val="2"/>
      </rPr>
      <t>Costs are credited.</t>
    </r>
    <r>
      <rPr>
        <sz val="10"/>
        <color theme="0"/>
        <rFont val="Arial"/>
        <family val="2"/>
      </rPr>
      <t xml:space="preserve"> Note the difference between Revenues and Costs. Costs are represented by a positive number.</t>
    </r>
  </si>
  <si>
    <t>Other Production Costs</t>
  </si>
  <si>
    <r>
      <t xml:space="preserve">Costs associated with 'Other' Production Costs as opposed to pure desalination watering costs. </t>
    </r>
    <r>
      <rPr>
        <b/>
        <sz val="10"/>
        <color theme="0"/>
        <rFont val="Arial"/>
        <family val="2"/>
      </rPr>
      <t>Cost Centre 140.</t>
    </r>
  </si>
  <si>
    <t>Assets</t>
  </si>
  <si>
    <t>Assets owned by Southern Water Corp Financials. Assets = Owners Equity + Liabilities</t>
  </si>
  <si>
    <t>EBIT</t>
  </si>
  <si>
    <t>Earnings Before Interest and Tax. Calculated as Revenues - COGS (Production Costs) - Overheads.</t>
  </si>
  <si>
    <t>Cost to Produce Per Litre</t>
  </si>
  <si>
    <t>(Production Cost + Other Production Costs + Overheads) / Total Water Production</t>
  </si>
  <si>
    <t>Cost Centre Actuals</t>
  </si>
  <si>
    <t>REVENUE &amp; PRODUCTION COSTS BY ACTIVITY FOR SOUTHERN WATER CO FINANCIAL YEAR 13/14</t>
  </si>
  <si>
    <t>Q1. Populate all the Cost Centre Element Totals using the SUM Function you learnt in Unit 4. The first row, row 8 has been completed for you!</t>
  </si>
  <si>
    <t>Unit</t>
  </si>
  <si>
    <t>Value Driver (Revenue / Production Costs / Other Production Costs)</t>
  </si>
  <si>
    <t>Cost Centre</t>
  </si>
  <si>
    <t>Cost Centre Element</t>
  </si>
  <si>
    <t>2013/Jul</t>
  </si>
  <si>
    <t>2013/Aug</t>
  </si>
  <si>
    <t>2013/Sep</t>
  </si>
  <si>
    <t>2013/Oct</t>
  </si>
  <si>
    <t>2013/Nov</t>
  </si>
  <si>
    <t>2013/Dec</t>
  </si>
  <si>
    <t>2014/Jan</t>
  </si>
  <si>
    <t>2014/Feb</t>
  </si>
  <si>
    <t>2014/Mar</t>
  </si>
  <si>
    <t>2014/Apr</t>
  </si>
  <si>
    <t>2014/May</t>
  </si>
  <si>
    <t>2014/Jun</t>
  </si>
  <si>
    <t>Kootha (1 Major Desal Unit)</t>
  </si>
  <si>
    <t>Revenue</t>
  </si>
  <si>
    <t>001 Water Hedge Sales</t>
  </si>
  <si>
    <t>W-Transact (0211)</t>
  </si>
  <si>
    <t>Total</t>
  </si>
  <si>
    <t>040 Miscellaneous Sales</t>
  </si>
  <si>
    <t>Plant Maintenance (1200)</t>
  </si>
  <si>
    <t>Plant Op. Costs (1300)</t>
  </si>
  <si>
    <t>Admin (100)</t>
  </si>
  <si>
    <t xml:space="preserve">010 DESAL Water Sales </t>
  </si>
  <si>
    <t>Production Costs</t>
  </si>
  <si>
    <t>120 Purchases</t>
  </si>
  <si>
    <t>140 Other Production Costs</t>
  </si>
  <si>
    <t>DS Kootha Hydrogen By Product (0232)</t>
  </si>
  <si>
    <t>Surjek (4 Major Desal. Plants)</t>
  </si>
  <si>
    <t>Projects Opex (4438)</t>
  </si>
  <si>
    <t>Jutik (New Desalination Plant)</t>
  </si>
  <si>
    <t>Plant Outages (1100)</t>
  </si>
  <si>
    <t>OVERALL TOTAL</t>
  </si>
  <si>
    <t>Q2. Using the Completed Information in Q1, Combine Kootha, Surjek and Jutik's Revenues and Costs together ensuring you have correctly captured all the Cost Centres and Cost Elements. Be sure to make use of the SUMIFS function you learnt in Unit 4.
If you've forgotten the Syntax, refer to the following:
https://support.office.com/en-us/article/sumifs-function-c9e748f5-7ea7-455d-9406-611cebce642b
Note: The reason we are doing this is so we can get a summarised view of the 'Total' costs / revenues with respect to each Cost Centre / Cost Element as we currently have a fragmented view.</t>
  </si>
  <si>
    <t>Combined Costs for Kootha, Surjek and Jutik</t>
  </si>
  <si>
    <t>All</t>
  </si>
  <si>
    <t>REVENUE AND PRODUCTIONS COSTS BY UNIT</t>
  </si>
  <si>
    <t xml:space="preserve">Q1a. Fill out the Revenues Section for each individual Unit (Kootha, Surjek, Jutik) using the Cost Centres which correspond to the 'Revenues' Label in the Value Driver Tree Column. Use the SUMIFS Formula to help you. Remember - you have to filter on the Unit as well as the Value Driver Tree Column!
</t>
  </si>
  <si>
    <r>
      <t xml:space="preserve">Q1b. Fill out the Production Costs and Production Other Costs using the Value Driver Tree Column in the CC Actuals Tab, labelled Production Costs and Other Production Costs respectively. Don't forget to use the SUMIFS formula. If you want to be </t>
    </r>
    <r>
      <rPr>
        <b/>
        <u/>
        <sz val="12"/>
        <color theme="0"/>
        <rFont val="Arial"/>
        <family val="2"/>
      </rPr>
      <t>really</t>
    </r>
    <r>
      <rPr>
        <b/>
        <i/>
        <u/>
        <sz val="12"/>
        <color theme="0"/>
        <rFont val="Arial"/>
        <family val="2"/>
      </rPr>
      <t xml:space="preserve"> advanced you can use SUMPRODUCT!</t>
    </r>
  </si>
  <si>
    <t>Actual</t>
  </si>
  <si>
    <t>Production</t>
  </si>
  <si>
    <t>Production Other</t>
  </si>
  <si>
    <t>Legacy Water Desal Plants [Kootha + Surjek]</t>
  </si>
  <si>
    <t>Jutik Desalination Plant [Newest Desalination Plant]</t>
  </si>
  <si>
    <t>OVERHEADS</t>
  </si>
  <si>
    <t>OVERHEADS PER UNIT</t>
  </si>
  <si>
    <t>1200</t>
  </si>
  <si>
    <t>1100</t>
  </si>
  <si>
    <t>1300</t>
  </si>
  <si>
    <t>(100</t>
  </si>
  <si>
    <t>Tota</t>
  </si>
  <si>
    <t>4438</t>
  </si>
  <si>
    <t>Q2. Using the Overheads Per Unit Information, combine Kootha, Surjek and Jutiks costs together using the SUMIFS Formula for 1) Plant Maintenance, 2)Plant Outages, 3) Plant Op. Costs, 4) Projects Opex and 5) Admin. Don't forget to use SUMIFS!</t>
  </si>
  <si>
    <t>Desalination Plants [All]</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</si>
  <si>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</si>
  <si>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</si>
  <si>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</si>
  <si>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</si>
  <si>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</si>
  <si>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Overheads</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</si>
  <si>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</si>
  <si>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</si>
  <si>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</si>
  <si>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</si>
  <si>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</si>
  <si>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</si>
  <si>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</si>
  <si>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</si>
  <si>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</si>
  <si>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</si>
  <si>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</si>
  <si>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</si>
  <si>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</si>
  <si>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</si>
  <si>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</si>
  <si>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</si>
  <si>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</si>
  <si>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11)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</si>
  <si>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</si>
  <si>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</si>
  <si>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</si>
  <si>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</si>
  <si>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</si>
  <si>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</si>
  <si>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</si>
  <si>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</si>
  <si>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</si>
  <si>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</si>
  <si>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</si>
  <si>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</si>
  <si>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</si>
  <si>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</si>
  <si>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</si>
  <si>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</si>
  <si>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Jutik</t>
  </si>
  <si>
    <t>Overall</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</si>
  <si>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</si>
  <si>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</si>
  <si>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</si>
  <si>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Kootha</t>
  </si>
  <si>
    <t>EBIT ACTUALS</t>
  </si>
  <si>
    <t>Overheads Actuals</t>
  </si>
  <si>
    <t>Production Costs Actuals</t>
  </si>
  <si>
    <t>Other Production Costs Actuals</t>
  </si>
  <si>
    <t>Revenue Actuals</t>
  </si>
  <si>
    <t>Surjek</t>
  </si>
  <si>
    <t xml:space="preserve">Overheads </t>
  </si>
  <si>
    <t xml:space="preserve">Production Costs </t>
  </si>
  <si>
    <t xml:space="preserve">Other Production Costs </t>
  </si>
  <si>
    <t>OVERALL</t>
  </si>
  <si>
    <t>BUDGET</t>
  </si>
  <si>
    <t>Overheads Budget</t>
  </si>
  <si>
    <t>Production Costs Budget</t>
  </si>
  <si>
    <t>Other Production Costs Budget</t>
  </si>
  <si>
    <t>Revenue Budget</t>
  </si>
  <si>
    <t>EBIT BUDGET</t>
  </si>
  <si>
    <t>Q2. Create Line Charts Plotting out the EBIT for each individual Unit (Kootha, Surjek, Jutik and Overall) and copy these graphs into a PowerPoint Slide Pack. What do the EBIT Trends tell you?</t>
  </si>
  <si>
    <t>REVENUE &amp; PRODUCTION COSTS BY ACTIVITY FOR SOUTHERN WATER CO FINANCIAL YEAR 13/14 (BUDGET)</t>
  </si>
  <si>
    <t>Value Driver Tree</t>
  </si>
  <si>
    <t>Cost Elements</t>
  </si>
  <si>
    <t>Kootha Budget Figures</t>
  </si>
  <si>
    <t>Surjek Budget Figures</t>
  </si>
  <si>
    <t>Jutik Budget Figures</t>
  </si>
  <si>
    <t>Combined Costs for All Plants</t>
  </si>
  <si>
    <t>Desalination Plants [ALL]</t>
  </si>
  <si>
    <t>REVENUE AND PRODUCTIONS COSTS BUDGETS</t>
  </si>
  <si>
    <t>OVERHEADS BUDGET</t>
  </si>
  <si>
    <t>All Desalination Plants</t>
  </si>
  <si>
    <t>Desalinated Water Production Per Thousand Litres</t>
  </si>
  <si>
    <t>TOTAL</t>
  </si>
  <si>
    <t>1000 Mega-Litres = 1 Giga-Litre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</si>
</sst>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quot;$&quot;#,##0.00;[Red]\-&quot;$&quot;#,##0.00"/>
    <numFmt numFmtId="165" formatCode="&quot;$&quot;#,##0.00"/>
    <numFmt numFmtId="166" formatCode="[$$-C09]#,##0.00"/>
    <numFmt numFmtId="167" formatCode="#,##0.00\ &quot;Giga-litres&quot;"/>
  </numFmts>
  <fonts count="41">
    <font>
      <sz val="11"/>
      <color rgb="FF000000"/>
      <name val="Calibri"/>
    </font>
    <font>
      <sz val="10"/>
      <name val="Arial"/>
      <family val="2"/>
    </font>
    <font>
      <b/>
      <sz val="10"/>
      <name val="Arial"/>
      <family val="2"/>
    </font>
    <font>
      <b/>
      <sz val="12"/>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sz val="8"/>
      <color rgb="FF000000"/>
      <name val="Arial"/>
      <family val="2"/>
    </font>
    <font>
      <sz val="9"/>
      <name val="Arial"/>
      <family val="2"/>
    </font>
    <font>
      <b/>
      <sz val="8"/>
      <color rgb="FF000000"/>
      <name val="Calibri"/>
      <family val="2"/>
    </font>
    <font>
      <b/>
      <u/>
      <sz val="10"/>
      <color rgb="FF000000"/>
      <name val="Arial"/>
      <family val="2"/>
    </font>
    <font>
      <b/>
      <sz val="10"/>
      <color theme="0"/>
      <name val="Arial"/>
      <family val="2"/>
    </font>
    <font>
      <sz val="10"/>
      <color theme="0"/>
      <name val="Arial"/>
      <family val="2"/>
    </font>
    <font>
      <sz val="11"/>
      <color rgb="FF000000"/>
      <name val="Calibri"/>
      <family val="2"/>
    </font>
    <font>
      <sz val="12"/>
      <color rgb="FF000000"/>
      <name val="Calibri"/>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b/>
      <u/>
      <sz val="12"/>
      <color theme="0"/>
      <name val="Arial"/>
      <family val="2"/>
    </font>
    <font>
      <b/>
      <i/>
      <u/>
      <sz val="12"/>
      <color theme="0"/>
      <name val="Arial"/>
      <family val="2"/>
    </font>
    <font>
      <sz val="14"/>
      <color rgb="FF000000"/>
      <name val="Calibri"/>
      <family val="2"/>
    </font>
    <font>
      <b/>
      <sz val="10"/>
      <color theme="0"/>
      <name val="Calibri"/>
      <family val="2"/>
    </font>
    <font>
      <i/>
      <sz val="12"/>
      <color rgb="FF000000"/>
      <name val="Arial"/>
      <family val="2"/>
    </font>
    <font>
      <b/>
      <sz val="9"/>
      <color theme="0"/>
      <name val="Arial"/>
      <family val="2"/>
    </font>
    <font>
      <b/>
      <sz val="14"/>
      <color theme="0"/>
      <name val="Calibri"/>
      <family val="2"/>
    </font>
    <font>
      <sz val="10"/>
      <color rgb="FF1D1C1D"/>
      <name val="Arial"/>
      <family val="2"/>
    </font>
    <font>
      <sz val="9"/>
      <color theme="0"/>
      <name val="Arial"/>
      <family val="2"/>
    </font>
    <font>
      <b/>
      <sz val="11"/>
      <color theme="0"/>
      <name val="Arial"/>
      <family val="2"/>
    </font>
    <font>
      <b/>
      <u/>
      <sz val="10"/>
      <color rgb="FFFF0000"/>
      <name val="Arial"/>
      <family val="2"/>
    </font>
  </fonts>
  <fills count="19">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4C6E7"/>
        <bgColor rgb="FFB4C6E7"/>
      </patternFill>
    </fill>
    <fill>
      <patternFill patternType="solid">
        <fgColor rgb="FFBFD2E2"/>
        <bgColor rgb="FFBFD2E2"/>
      </patternFill>
    </fill>
    <fill>
      <patternFill patternType="solid">
        <fgColor rgb="FFF2F2F2"/>
        <bgColor rgb="FFF2F2F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FBE4D5"/>
      </patternFill>
    </fill>
    <fill>
      <patternFill patternType="solid">
        <fgColor theme="1"/>
        <bgColor rgb="FFA5A5A5"/>
      </patternFill>
    </fill>
    <fill>
      <patternFill patternType="solid">
        <fgColor theme="1"/>
        <bgColor rgb="FFD9E2F3"/>
      </patternFill>
    </fill>
    <fill>
      <patternFill patternType="solid">
        <fgColor theme="1"/>
        <bgColor rgb="FFC5E0B3"/>
      </patternFill>
    </fill>
    <fill>
      <patternFill patternType="solid">
        <fgColor theme="1"/>
        <bgColor rgb="FFECECEC"/>
      </patternFill>
    </fill>
    <fill>
      <patternFill patternType="solid">
        <fgColor theme="1"/>
        <bgColor rgb="FFA8D08D"/>
      </patternFill>
    </fill>
    <fill>
      <patternFill patternType="solid">
        <fgColor theme="1"/>
        <bgColor rgb="FFF2F2F2"/>
      </patternFill>
    </fill>
    <fill>
      <patternFill patternType="solid">
        <fgColor theme="2" tint="-0.499984740745262"/>
        <bgColor indexed="64"/>
      </patternFill>
    </fill>
    <fill>
      <patternFill patternType="solid">
        <fgColor theme="1"/>
        <bgColor rgb="FFBFD2E2"/>
      </patternFill>
    </fill>
  </fills>
  <borders count="32">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style="thin">
        <color rgb="FF000000"/>
      </top>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double">
        <color rgb="FF000000"/>
      </bottom>
      <diagonal/>
    </border>
    <border>
      <left/>
      <right/>
      <top style="double">
        <color rgb="FF000000"/>
      </top>
      <bottom style="medium">
        <color rgb="FF000000"/>
      </bottom>
      <diagonal/>
    </border>
    <border>
      <left/>
      <right/>
      <top style="medium">
        <color rgb="FF000000"/>
      </top>
      <bottom style="double">
        <color rgb="FF000000"/>
      </bottom>
      <diagonal/>
    </border>
    <border>
      <left/>
      <right style="medium">
        <color rgb="FF000000"/>
      </right>
      <top/>
      <bottom/>
      <diagonal/>
    </border>
    <border>
      <left/>
      <right/>
      <top/>
      <bottom style="thin">
        <color rgb="FF000000"/>
      </bottom>
      <diagonal/>
    </border>
    <border>
      <left/>
      <right/>
      <top style="double">
        <color auto="1"/>
      </top>
      <bottom style="double">
        <color auto="1"/>
      </bottom>
      <diagonal/>
    </border>
    <border>
      <left/>
      <right/>
      <top style="double">
        <color auto="1"/>
      </top>
      <bottom style="thin">
        <color rgb="FF000000"/>
      </bottom>
      <diagonal/>
    </border>
    <border>
      <left/>
      <right/>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top/>
      <bottom style="double">
        <color rgb="FF000000"/>
      </bottom>
      <diagonal/>
    </border>
  </borders>
  <cellStyleXfs count="1">
    <xf numFmtId="0" fontId="0" fillId="0" borderId="0"/>
  </cellStyleXfs>
  <cellXfs count="293">
    <xf numFmtId="0" fontId="0" fillId="0" borderId="0" xfId="0" applyFont="1" applyAlignment="1"/>
    <xf numFmtId="0" fontId="1" fillId="0" borderId="0" xfId="0" applyFont="1"/>
    <xf numFmtId="0" fontId="2" fillId="0" borderId="0" xfId="0" applyFont="1"/>
    <xf numFmtId="0" fontId="4" fillId="0" borderId="0" xfId="0" applyFont="1"/>
    <xf numFmtId="165" fontId="1" fillId="0" borderId="0" xfId="0" applyNumberFormat="1" applyFont="1"/>
    <xf numFmtId="165" fontId="5" fillId="3" borderId="4" xfId="0" applyNumberFormat="1" applyFont="1" applyFill="1" applyBorder="1" applyAlignment="1">
      <alignment horizontal="left" vertical="top"/>
    </xf>
    <xf numFmtId="165" fontId="5" fillId="3" borderId="5" xfId="0" applyNumberFormat="1" applyFont="1" applyFill="1" applyBorder="1" applyAlignment="1">
      <alignment horizontal="left" vertical="top"/>
    </xf>
    <xf numFmtId="165" fontId="4" fillId="3" borderId="4" xfId="0" applyNumberFormat="1" applyFont="1" applyFill="1" applyBorder="1"/>
    <xf numFmtId="165" fontId="5" fillId="3" borderId="5" xfId="0" applyNumberFormat="1" applyFont="1" applyFill="1" applyBorder="1"/>
    <xf numFmtId="165" fontId="5" fillId="3" borderId="4" xfId="0" applyNumberFormat="1" applyFont="1" applyFill="1" applyBorder="1"/>
    <xf numFmtId="0" fontId="1" fillId="4" borderId="1" xfId="0" applyFont="1" applyFill="1" applyBorder="1"/>
    <xf numFmtId="165" fontId="5" fillId="0" borderId="0" xfId="0" applyNumberFormat="1" applyFont="1"/>
    <xf numFmtId="165" fontId="5" fillId="0" borderId="0" xfId="0" applyNumberFormat="1" applyFont="1" applyAlignment="1">
      <alignment horizontal="left" vertical="top"/>
    </xf>
    <xf numFmtId="0" fontId="2" fillId="4" borderId="1" xfId="0" applyFont="1" applyFill="1" applyBorder="1"/>
    <xf numFmtId="165" fontId="4" fillId="3" borderId="5" xfId="0" applyNumberFormat="1" applyFont="1" applyFill="1" applyBorder="1"/>
    <xf numFmtId="165" fontId="4" fillId="3" borderId="4" xfId="0" applyNumberFormat="1" applyFont="1" applyFill="1" applyBorder="1" applyAlignment="1">
      <alignment horizontal="left" vertical="top"/>
    </xf>
    <xf numFmtId="166" fontId="2" fillId="0" borderId="0" xfId="0" applyNumberFormat="1" applyFont="1"/>
    <xf numFmtId="166" fontId="1" fillId="0" borderId="0" xfId="0" applyNumberFormat="1" applyFont="1"/>
    <xf numFmtId="165" fontId="2" fillId="3" borderId="2" xfId="0" applyNumberFormat="1" applyFont="1" applyFill="1" applyBorder="1"/>
    <xf numFmtId="165" fontId="2" fillId="3" borderId="3" xfId="0" applyNumberFormat="1" applyFont="1" applyFill="1" applyBorder="1"/>
    <xf numFmtId="165" fontId="4" fillId="3" borderId="5" xfId="0" applyNumberFormat="1" applyFont="1" applyFill="1" applyBorder="1" applyAlignment="1">
      <alignment horizontal="left" vertical="top"/>
    </xf>
    <xf numFmtId="0" fontId="4" fillId="2" borderId="8" xfId="0" applyFont="1" applyFill="1" applyBorder="1" applyAlignment="1">
      <alignment horizontal="left" vertical="top"/>
    </xf>
    <xf numFmtId="49" fontId="5" fillId="0" borderId="4" xfId="0" applyNumberFormat="1" applyFont="1" applyBorder="1"/>
    <xf numFmtId="2" fontId="5" fillId="0" borderId="9" xfId="0" applyNumberFormat="1" applyFont="1" applyBorder="1"/>
    <xf numFmtId="166" fontId="5" fillId="0" borderId="8" xfId="0" applyNumberFormat="1" applyFont="1" applyBorder="1" applyAlignment="1">
      <alignment horizontal="right" vertical="top"/>
    </xf>
    <xf numFmtId="49" fontId="4" fillId="0" borderId="13" xfId="0" applyNumberFormat="1" applyFont="1" applyBorder="1"/>
    <xf numFmtId="49" fontId="5" fillId="0" borderId="14" xfId="0" applyNumberFormat="1" applyFont="1" applyBorder="1"/>
    <xf numFmtId="49" fontId="5" fillId="0" borderId="15" xfId="0" applyNumberFormat="1" applyFont="1" applyBorder="1"/>
    <xf numFmtId="49" fontId="4" fillId="0" borderId="15" xfId="0" applyNumberFormat="1" applyFont="1" applyBorder="1"/>
    <xf numFmtId="49" fontId="4" fillId="0" borderId="0" xfId="0" applyNumberFormat="1" applyFont="1"/>
    <xf numFmtId="2" fontId="4" fillId="0" borderId="0" xfId="0" applyNumberFormat="1" applyFont="1"/>
    <xf numFmtId="49" fontId="5" fillId="0" borderId="9" xfId="0" applyNumberFormat="1" applyFont="1" applyBorder="1"/>
    <xf numFmtId="2" fontId="5" fillId="0" borderId="0" xfId="0" applyNumberFormat="1" applyFont="1"/>
    <xf numFmtId="2" fontId="5" fillId="0" borderId="0" xfId="0" applyNumberFormat="1" applyFont="1" applyAlignment="1">
      <alignment horizontal="right" vertical="top"/>
    </xf>
    <xf numFmtId="166" fontId="5" fillId="0" borderId="0" xfId="0" applyNumberFormat="1" applyFont="1" applyAlignment="1">
      <alignment horizontal="right" vertical="top"/>
    </xf>
    <xf numFmtId="49" fontId="1" fillId="0" borderId="0" xfId="0" applyNumberFormat="1" applyFont="1"/>
    <xf numFmtId="0" fontId="5" fillId="0" borderId="0" xfId="0" applyFont="1" applyAlignment="1">
      <alignment horizontal="left" vertical="top"/>
    </xf>
    <xf numFmtId="0" fontId="7" fillId="0" borderId="0" xfId="0" applyFont="1"/>
    <xf numFmtId="49" fontId="2" fillId="0" borderId="0" xfId="0" applyNumberFormat="1" applyFont="1"/>
    <xf numFmtId="49" fontId="5" fillId="0" borderId="0" xfId="0" applyNumberFormat="1" applyFont="1"/>
    <xf numFmtId="0" fontId="4" fillId="0" borderId="0" xfId="0" applyFont="1" applyAlignment="1">
      <alignment horizontal="left" vertical="top"/>
    </xf>
    <xf numFmtId="166" fontId="4" fillId="0" borderId="0" xfId="0" applyNumberFormat="1" applyFont="1" applyAlignment="1">
      <alignment horizontal="right" vertical="top"/>
    </xf>
    <xf numFmtId="0" fontId="5" fillId="5" borderId="16" xfId="0" applyFont="1" applyFill="1" applyBorder="1" applyAlignment="1">
      <alignment horizontal="left" vertical="top"/>
    </xf>
    <xf numFmtId="4" fontId="5" fillId="3" borderId="17" xfId="0" applyNumberFormat="1" applyFont="1" applyFill="1" applyBorder="1" applyAlignment="1">
      <alignment horizontal="right" vertical="top"/>
    </xf>
    <xf numFmtId="4" fontId="5" fillId="3" borderId="18" xfId="0" applyNumberFormat="1" applyFont="1" applyFill="1" applyBorder="1" applyAlignment="1">
      <alignment horizontal="right" vertical="top"/>
    </xf>
    <xf numFmtId="4" fontId="5" fillId="3" borderId="19" xfId="0" applyNumberFormat="1" applyFont="1" applyFill="1" applyBorder="1" applyAlignment="1">
      <alignment horizontal="right" vertical="top"/>
    </xf>
    <xf numFmtId="4" fontId="5" fillId="3" borderId="20" xfId="0" applyNumberFormat="1" applyFont="1" applyFill="1" applyBorder="1" applyAlignment="1">
      <alignment horizontal="right" vertical="top"/>
    </xf>
    <xf numFmtId="167" fontId="8" fillId="0" borderId="21" xfId="0" applyNumberFormat="1" applyFont="1" applyBorder="1"/>
    <xf numFmtId="0" fontId="5" fillId="5" borderId="1" xfId="0" applyFont="1" applyFill="1" applyBorder="1" applyAlignment="1">
      <alignment horizontal="left" vertical="top"/>
    </xf>
    <xf numFmtId="0" fontId="9" fillId="0" borderId="0" xfId="0" applyFont="1"/>
    <xf numFmtId="0" fontId="4" fillId="0" borderId="22" xfId="0" applyFont="1" applyBorder="1"/>
    <xf numFmtId="0" fontId="5" fillId="0" borderId="23" xfId="0" applyFont="1" applyBorder="1"/>
    <xf numFmtId="164" fontId="5" fillId="0" borderId="23" xfId="0" applyNumberFormat="1" applyFont="1" applyBorder="1"/>
    <xf numFmtId="164" fontId="9" fillId="0" borderId="23" xfId="0" applyNumberFormat="1" applyFont="1" applyBorder="1"/>
    <xf numFmtId="0" fontId="7" fillId="6" borderId="1" xfId="0" applyFont="1" applyFill="1" applyBorder="1"/>
    <xf numFmtId="0" fontId="6" fillId="0" borderId="0" xfId="0" applyFont="1" applyAlignment="1"/>
    <xf numFmtId="0" fontId="5" fillId="0" borderId="4" xfId="0" applyFont="1" applyFill="1" applyBorder="1" applyAlignment="1">
      <alignment horizontal="left" vertical="top"/>
    </xf>
    <xf numFmtId="0" fontId="1" fillId="0" borderId="1" xfId="0" applyFont="1" applyFill="1" applyBorder="1"/>
    <xf numFmtId="4" fontId="11" fillId="3" borderId="17" xfId="0" applyNumberFormat="1" applyFont="1" applyFill="1" applyBorder="1" applyAlignment="1">
      <alignment horizontal="right" vertical="top"/>
    </xf>
    <xf numFmtId="4" fontId="11" fillId="3" borderId="18" xfId="0" applyNumberFormat="1" applyFont="1" applyFill="1" applyBorder="1" applyAlignment="1">
      <alignment horizontal="right" vertical="top"/>
    </xf>
    <xf numFmtId="4" fontId="11" fillId="3" borderId="19" xfId="0" applyNumberFormat="1" applyFont="1" applyFill="1" applyBorder="1" applyAlignment="1">
      <alignment horizontal="right" vertical="top"/>
    </xf>
    <xf numFmtId="4" fontId="11" fillId="3" borderId="20" xfId="0" applyNumberFormat="1" applyFont="1" applyFill="1" applyBorder="1" applyAlignment="1">
      <alignment horizontal="right" vertical="top"/>
    </xf>
    <xf numFmtId="167" fontId="13" fillId="0" borderId="21" xfId="0" applyNumberFormat="1" applyFont="1" applyBorder="1"/>
    <xf numFmtId="164" fontId="5" fillId="0" borderId="0" xfId="0" applyNumberFormat="1" applyFont="1"/>
    <xf numFmtId="0" fontId="10" fillId="0" borderId="4" xfId="0" applyFont="1" applyFill="1" applyBorder="1" applyAlignment="1">
      <alignment horizontal="left" vertical="top"/>
    </xf>
    <xf numFmtId="0" fontId="12" fillId="0" borderId="2" xfId="0" applyFont="1" applyFill="1" applyBorder="1"/>
    <xf numFmtId="0" fontId="5" fillId="0" borderId="0" xfId="0" applyFont="1"/>
    <xf numFmtId="0" fontId="6" fillId="0" borderId="0" xfId="0" applyFont="1" applyAlignment="1"/>
    <xf numFmtId="0" fontId="5" fillId="0" borderId="0" xfId="0" applyFont="1" applyAlignment="1"/>
    <xf numFmtId="0" fontId="4" fillId="0" borderId="0" xfId="0" applyFont="1" applyAlignment="1"/>
    <xf numFmtId="0" fontId="5" fillId="7" borderId="0" xfId="0" applyFont="1" applyFill="1" applyAlignment="1"/>
    <xf numFmtId="0" fontId="15" fillId="7" borderId="0" xfId="0" applyFont="1" applyFill="1" applyAlignment="1"/>
    <xf numFmtId="0" fontId="16" fillId="7" borderId="0" xfId="0" applyFont="1" applyFill="1" applyAlignment="1"/>
    <xf numFmtId="0" fontId="5" fillId="8" borderId="0" xfId="0" applyFont="1" applyFill="1" applyAlignment="1"/>
    <xf numFmtId="0" fontId="4" fillId="0" borderId="4" xfId="0" applyFont="1" applyFill="1" applyBorder="1" applyAlignment="1">
      <alignment horizontal="left" vertical="top"/>
    </xf>
    <xf numFmtId="0" fontId="5" fillId="0" borderId="9" xfId="0" applyFont="1" applyFill="1" applyBorder="1" applyAlignment="1">
      <alignment horizontal="left" vertical="top"/>
    </xf>
    <xf numFmtId="0" fontId="5" fillId="0" borderId="5" xfId="0" applyFont="1" applyFill="1" applyBorder="1" applyAlignment="1">
      <alignment horizontal="left" vertical="top"/>
    </xf>
    <xf numFmtId="166" fontId="5" fillId="0" borderId="8" xfId="0" applyNumberFormat="1" applyFont="1" applyFill="1" applyBorder="1" applyAlignment="1">
      <alignment horizontal="right" vertical="top"/>
    </xf>
    <xf numFmtId="0" fontId="1" fillId="0" borderId="0" xfId="0" applyFont="1" applyFill="1"/>
    <xf numFmtId="0" fontId="0" fillId="0" borderId="0" xfId="0" applyFont="1" applyFill="1" applyAlignment="1"/>
    <xf numFmtId="166" fontId="4" fillId="0" borderId="8" xfId="0" applyNumberFormat="1" applyFont="1" applyFill="1" applyBorder="1" applyAlignment="1">
      <alignment horizontal="right" vertical="top"/>
    </xf>
    <xf numFmtId="0" fontId="2" fillId="0" borderId="0" xfId="0" applyFont="1" applyFill="1"/>
    <xf numFmtId="0" fontId="8" fillId="0" borderId="0" xfId="0" applyFont="1" applyFill="1" applyAlignment="1"/>
    <xf numFmtId="0" fontId="4" fillId="0" borderId="26" xfId="0" applyFont="1" applyFill="1" applyBorder="1" applyAlignment="1">
      <alignment horizontal="left" vertical="top"/>
    </xf>
    <xf numFmtId="49" fontId="5" fillId="0" borderId="26" xfId="0" applyNumberFormat="1" applyFont="1" applyFill="1" applyBorder="1"/>
    <xf numFmtId="166" fontId="4" fillId="0" borderId="26" xfId="0" applyNumberFormat="1" applyFont="1" applyFill="1" applyBorder="1" applyAlignment="1">
      <alignment horizontal="right" vertical="top"/>
    </xf>
    <xf numFmtId="0" fontId="1" fillId="0" borderId="26" xfId="0" applyFont="1" applyFill="1" applyBorder="1"/>
    <xf numFmtId="0" fontId="0" fillId="0" borderId="26" xfId="0" applyFont="1" applyFill="1" applyBorder="1" applyAlignment="1"/>
    <xf numFmtId="0" fontId="0" fillId="7" borderId="0" xfId="0" applyFont="1" applyFill="1" applyAlignment="1"/>
    <xf numFmtId="0" fontId="16" fillId="7" borderId="0" xfId="0" applyFont="1" applyFill="1"/>
    <xf numFmtId="0" fontId="19" fillId="7" borderId="0" xfId="0" applyFont="1" applyFill="1" applyAlignment="1"/>
    <xf numFmtId="0" fontId="15" fillId="7" borderId="0" xfId="0" applyFont="1" applyFill="1"/>
    <xf numFmtId="0" fontId="16" fillId="9" borderId="2" xfId="0" applyFont="1" applyFill="1" applyBorder="1"/>
    <xf numFmtId="0" fontId="16" fillId="9" borderId="6" xfId="0" applyFont="1" applyFill="1" applyBorder="1"/>
    <xf numFmtId="0" fontId="16" fillId="9" borderId="3" xfId="0" applyFont="1" applyFill="1" applyBorder="1"/>
    <xf numFmtId="0" fontId="15" fillId="9" borderId="2" xfId="0" applyFont="1" applyFill="1" applyBorder="1"/>
    <xf numFmtId="17" fontId="15" fillId="9" borderId="7" xfId="0" applyNumberFormat="1" applyFont="1" applyFill="1" applyBorder="1" applyAlignment="1">
      <alignment horizontal="center"/>
    </xf>
    <xf numFmtId="0" fontId="16" fillId="9" borderId="1" xfId="0" applyFont="1" applyFill="1" applyBorder="1"/>
    <xf numFmtId="0" fontId="15" fillId="9" borderId="4" xfId="0" applyFont="1" applyFill="1" applyBorder="1" applyAlignment="1">
      <alignment horizontal="center" vertical="top"/>
    </xf>
    <xf numFmtId="0" fontId="15" fillId="9" borderId="5" xfId="0" applyFont="1" applyFill="1" applyBorder="1"/>
    <xf numFmtId="0" fontId="15" fillId="9" borderId="4" xfId="0" applyFont="1" applyFill="1" applyBorder="1"/>
    <xf numFmtId="0" fontId="15" fillId="9" borderId="8" xfId="0" applyFont="1" applyFill="1" applyBorder="1" applyAlignment="1">
      <alignment horizontal="left" vertical="top"/>
    </xf>
    <xf numFmtId="0" fontId="15" fillId="9" borderId="1" xfId="0" applyFont="1" applyFill="1" applyBorder="1"/>
    <xf numFmtId="0" fontId="2" fillId="10" borderId="1" xfId="0" applyFont="1" applyFill="1" applyBorder="1"/>
    <xf numFmtId="0" fontId="15" fillId="10" borderId="1" xfId="0" applyFont="1" applyFill="1" applyBorder="1"/>
    <xf numFmtId="0" fontId="3" fillId="10" borderId="1" xfId="0" applyFont="1" applyFill="1" applyBorder="1"/>
    <xf numFmtId="0" fontId="15" fillId="11" borderId="1" xfId="0" applyFont="1" applyFill="1" applyBorder="1"/>
    <xf numFmtId="0" fontId="5" fillId="0" borderId="1" xfId="0" applyFont="1" applyFill="1" applyBorder="1" applyAlignment="1">
      <alignment horizontal="left" vertical="top"/>
    </xf>
    <xf numFmtId="0" fontId="6" fillId="0" borderId="0" xfId="0" applyFont="1" applyFill="1" applyAlignment="1"/>
    <xf numFmtId="2" fontId="5" fillId="0" borderId="9" xfId="0" applyNumberFormat="1" applyFont="1" applyFill="1" applyBorder="1"/>
    <xf numFmtId="49" fontId="5" fillId="0" borderId="4" xfId="0" applyNumberFormat="1" applyFont="1" applyFill="1" applyBorder="1"/>
    <xf numFmtId="0" fontId="1" fillId="10" borderId="1" xfId="0" applyFont="1" applyFill="1" applyBorder="1"/>
    <xf numFmtId="0" fontId="17" fillId="0" borderId="0" xfId="0" applyFont="1" applyAlignment="1"/>
    <xf numFmtId="49" fontId="5" fillId="0" borderId="8" xfId="0" applyNumberFormat="1" applyFont="1" applyBorder="1"/>
    <xf numFmtId="0" fontId="1" fillId="0" borderId="8" xfId="0" applyFont="1" applyBorder="1"/>
    <xf numFmtId="0" fontId="16" fillId="12" borderId="1" xfId="0" applyFont="1" applyFill="1" applyBorder="1"/>
    <xf numFmtId="17" fontId="16" fillId="7" borderId="0" xfId="0" applyNumberFormat="1" applyFont="1" applyFill="1" applyAlignment="1">
      <alignment horizontal="center"/>
    </xf>
    <xf numFmtId="0" fontId="6" fillId="7" borderId="0" xfId="0" applyFont="1" applyFill="1" applyAlignment="1"/>
    <xf numFmtId="0" fontId="20" fillId="7" borderId="0" xfId="0" applyFont="1" applyFill="1" applyAlignment="1"/>
    <xf numFmtId="165" fontId="15" fillId="9" borderId="2" xfId="0" applyNumberFormat="1" applyFont="1" applyFill="1" applyBorder="1"/>
    <xf numFmtId="165" fontId="16" fillId="9" borderId="3" xfId="0" applyNumberFormat="1" applyFont="1" applyFill="1" applyBorder="1"/>
    <xf numFmtId="165" fontId="4" fillId="0" borderId="4" xfId="0" applyNumberFormat="1" applyFont="1" applyFill="1" applyBorder="1" applyAlignment="1">
      <alignment horizontal="left" vertical="top"/>
    </xf>
    <xf numFmtId="165" fontId="1" fillId="0" borderId="5" xfId="0" applyNumberFormat="1" applyFont="1" applyFill="1" applyBorder="1"/>
    <xf numFmtId="165" fontId="1" fillId="0" borderId="4" xfId="0" applyNumberFormat="1" applyFont="1" applyFill="1" applyBorder="1"/>
    <xf numFmtId="165" fontId="1" fillId="0" borderId="0" xfId="0" applyNumberFormat="1" applyFont="1" applyFill="1"/>
    <xf numFmtId="165" fontId="5" fillId="0" borderId="5" xfId="0" applyNumberFormat="1" applyFont="1" applyFill="1" applyBorder="1" applyAlignment="1">
      <alignment horizontal="left" vertical="top"/>
    </xf>
    <xf numFmtId="165" fontId="5" fillId="0" borderId="4" xfId="0" applyNumberFormat="1" applyFont="1" applyFill="1" applyBorder="1" applyAlignment="1">
      <alignment horizontal="left" vertical="top"/>
    </xf>
    <xf numFmtId="165" fontId="5" fillId="0" borderId="4" xfId="0" applyNumberFormat="1" applyFont="1" applyFill="1" applyBorder="1"/>
    <xf numFmtId="165" fontId="4" fillId="0" borderId="4" xfId="0" applyNumberFormat="1" applyFont="1" applyFill="1" applyBorder="1"/>
    <xf numFmtId="165" fontId="5" fillId="0" borderId="5" xfId="0" applyNumberFormat="1" applyFont="1" applyFill="1" applyBorder="1"/>
    <xf numFmtId="165" fontId="1" fillId="0" borderId="2" xfId="0" applyNumberFormat="1" applyFont="1" applyFill="1" applyBorder="1"/>
    <xf numFmtId="165" fontId="1" fillId="0" borderId="3" xfId="0" applyNumberFormat="1" applyFont="1" applyFill="1" applyBorder="1"/>
    <xf numFmtId="0" fontId="15" fillId="14" borderId="4" xfId="0" applyFont="1" applyFill="1" applyBorder="1" applyAlignment="1">
      <alignment horizontal="left" vertical="top"/>
    </xf>
    <xf numFmtId="0" fontId="15" fillId="14" borderId="5" xfId="0" applyFont="1" applyFill="1" applyBorder="1" applyAlignment="1">
      <alignment horizontal="left" vertical="top"/>
    </xf>
    <xf numFmtId="166" fontId="15" fillId="14" borderId="8" xfId="0" applyNumberFormat="1" applyFont="1" applyFill="1" applyBorder="1" applyAlignment="1">
      <alignment horizontal="right" vertical="top"/>
    </xf>
    <xf numFmtId="0" fontId="21" fillId="7" borderId="0" xfId="0" applyFont="1" applyFill="1" applyAlignment="1"/>
    <xf numFmtId="0" fontId="24" fillId="7" borderId="0" xfId="0" applyFont="1" applyFill="1" applyAlignment="1"/>
    <xf numFmtId="0" fontId="26" fillId="7" borderId="0" xfId="0" applyFont="1" applyFill="1"/>
    <xf numFmtId="0" fontId="25" fillId="7" borderId="0" xfId="0" applyFont="1" applyFill="1"/>
    <xf numFmtId="0" fontId="27" fillId="12" borderId="1" xfId="0" applyFont="1" applyFill="1" applyBorder="1"/>
    <xf numFmtId="0" fontId="28" fillId="7" borderId="0" xfId="0" applyFont="1" applyFill="1"/>
    <xf numFmtId="0" fontId="27" fillId="7" borderId="0" xfId="0" applyFont="1" applyFill="1"/>
    <xf numFmtId="17" fontId="27" fillId="7" borderId="0" xfId="0" applyNumberFormat="1" applyFont="1" applyFill="1" applyAlignment="1">
      <alignment horizontal="center"/>
    </xf>
    <xf numFmtId="0" fontId="29" fillId="7" borderId="0" xfId="0" applyFont="1" applyFill="1" applyAlignment="1"/>
    <xf numFmtId="17" fontId="16" fillId="7" borderId="0" xfId="0" applyNumberFormat="1" applyFont="1" applyFill="1" applyAlignment="1">
      <alignment horizontal="center" wrapText="1"/>
    </xf>
    <xf numFmtId="0" fontId="28" fillId="15" borderId="1" xfId="0" applyFont="1" applyFill="1" applyBorder="1"/>
    <xf numFmtId="165" fontId="28" fillId="15" borderId="10" xfId="0" applyNumberFormat="1" applyFont="1" applyFill="1" applyBorder="1"/>
    <xf numFmtId="165" fontId="28" fillId="15" borderId="11" xfId="0" applyNumberFormat="1" applyFont="1" applyFill="1" applyBorder="1"/>
    <xf numFmtId="165" fontId="28" fillId="15" borderId="10" xfId="0" applyNumberFormat="1" applyFont="1" applyFill="1" applyBorder="1" applyAlignment="1">
      <alignment horizontal="left" vertical="top"/>
    </xf>
    <xf numFmtId="166" fontId="28" fillId="15" borderId="1" xfId="0" applyNumberFormat="1" applyFont="1" applyFill="1" applyBorder="1"/>
    <xf numFmtId="0" fontId="28" fillId="13" borderId="1" xfId="0" applyFont="1" applyFill="1" applyBorder="1"/>
    <xf numFmtId="165" fontId="28" fillId="13" borderId="5" xfId="0" applyNumberFormat="1" applyFont="1" applyFill="1" applyBorder="1" applyAlignment="1">
      <alignment horizontal="left" vertical="top"/>
    </xf>
    <xf numFmtId="165" fontId="28" fillId="13" borderId="4" xfId="0" applyNumberFormat="1" applyFont="1" applyFill="1" applyBorder="1" applyAlignment="1">
      <alignment horizontal="left" vertical="top"/>
    </xf>
    <xf numFmtId="165" fontId="4" fillId="0" borderId="4" xfId="0" applyNumberFormat="1" applyFont="1" applyFill="1" applyBorder="1" applyAlignment="1">
      <alignment horizontal="center" vertical="top"/>
    </xf>
    <xf numFmtId="165" fontId="5" fillId="0" borderId="4" xfId="0" applyNumberFormat="1" applyFont="1" applyFill="1" applyBorder="1" applyAlignment="1">
      <alignment horizontal="center" vertical="top"/>
    </xf>
    <xf numFmtId="165" fontId="22" fillId="13" borderId="4" xfId="0" applyNumberFormat="1" applyFont="1" applyFill="1" applyBorder="1"/>
    <xf numFmtId="0" fontId="5" fillId="7" borderId="0" xfId="0" applyFont="1" applyFill="1"/>
    <xf numFmtId="164" fontId="16" fillId="7" borderId="0" xfId="0" applyNumberFormat="1" applyFont="1" applyFill="1"/>
    <xf numFmtId="0" fontId="16" fillId="13" borderId="1" xfId="0" applyFont="1" applyFill="1" applyBorder="1"/>
    <xf numFmtId="0" fontId="4" fillId="0" borderId="26" xfId="0" applyFont="1" applyBorder="1"/>
    <xf numFmtId="164" fontId="5" fillId="0" borderId="26" xfId="0" applyNumberFormat="1" applyFont="1" applyBorder="1"/>
    <xf numFmtId="0" fontId="34" fillId="0" borderId="0" xfId="0" applyFont="1"/>
    <xf numFmtId="49" fontId="15" fillId="7" borderId="4" xfId="0" applyNumberFormat="1" applyFont="1" applyFill="1" applyBorder="1"/>
    <xf numFmtId="49" fontId="15" fillId="7" borderId="9" xfId="0" applyNumberFormat="1" applyFont="1" applyFill="1" applyBorder="1"/>
    <xf numFmtId="166" fontId="10" fillId="0" borderId="8" xfId="0" applyNumberFormat="1" applyFont="1" applyFill="1" applyBorder="1" applyAlignment="1">
      <alignment horizontal="right" vertical="top"/>
    </xf>
    <xf numFmtId="49" fontId="10" fillId="0" borderId="0" xfId="0" applyNumberFormat="1" applyFont="1" applyFill="1"/>
    <xf numFmtId="49" fontId="10" fillId="0" borderId="1" xfId="0" applyNumberFormat="1" applyFont="1" applyFill="1" applyBorder="1"/>
    <xf numFmtId="0" fontId="10" fillId="0" borderId="24" xfId="0" applyFont="1" applyFill="1" applyBorder="1" applyAlignment="1">
      <alignment horizontal="left" vertical="top"/>
    </xf>
    <xf numFmtId="49" fontId="10" fillId="0" borderId="24" xfId="0" applyNumberFormat="1" applyFont="1" applyFill="1" applyBorder="1"/>
    <xf numFmtId="49" fontId="10" fillId="0" borderId="15" xfId="0" applyNumberFormat="1" applyFont="1" applyFill="1" applyBorder="1"/>
    <xf numFmtId="0" fontId="33" fillId="7" borderId="0" xfId="0" applyFont="1" applyFill="1" applyAlignment="1"/>
    <xf numFmtId="166" fontId="26" fillId="7" borderId="8" xfId="0" applyNumberFormat="1" applyFont="1" applyFill="1" applyBorder="1" applyAlignment="1">
      <alignment horizontal="right" vertical="top"/>
    </xf>
    <xf numFmtId="0" fontId="36" fillId="7" borderId="0" xfId="0" applyFont="1" applyFill="1" applyAlignment="1"/>
    <xf numFmtId="0" fontId="35" fillId="7" borderId="2" xfId="0" applyFont="1" applyFill="1" applyBorder="1"/>
    <xf numFmtId="0" fontId="35" fillId="7" borderId="6" xfId="0" applyFont="1" applyFill="1" applyBorder="1"/>
    <xf numFmtId="0" fontId="35" fillId="7" borderId="3" xfId="0" applyFont="1" applyFill="1" applyBorder="1"/>
    <xf numFmtId="17" fontId="35" fillId="7" borderId="7" xfId="0" applyNumberFormat="1" applyFont="1" applyFill="1" applyBorder="1" applyAlignment="1">
      <alignment horizontal="center"/>
    </xf>
    <xf numFmtId="0" fontId="5" fillId="0" borderId="0" xfId="0" applyFont="1" applyFill="1" applyAlignment="1"/>
    <xf numFmtId="0" fontId="5" fillId="0" borderId="0" xfId="0" applyFont="1" applyFill="1"/>
    <xf numFmtId="49" fontId="26" fillId="7" borderId="4" xfId="0" applyNumberFormat="1" applyFont="1" applyFill="1" applyBorder="1"/>
    <xf numFmtId="0" fontId="25" fillId="7" borderId="0" xfId="0" applyFont="1" applyFill="1" applyAlignment="1"/>
    <xf numFmtId="0" fontId="26" fillId="7" borderId="0" xfId="0" applyFont="1" applyFill="1" applyAlignment="1"/>
    <xf numFmtId="0" fontId="27" fillId="7" borderId="0" xfId="0" applyFont="1" applyFill="1" applyAlignment="1"/>
    <xf numFmtId="0" fontId="4" fillId="0" borderId="1" xfId="0" applyFont="1" applyBorder="1"/>
    <xf numFmtId="0" fontId="5" fillId="0" borderId="1" xfId="0" applyFont="1" applyBorder="1"/>
    <xf numFmtId="164" fontId="5" fillId="0" borderId="1" xfId="0" applyNumberFormat="1" applyFont="1" applyBorder="1"/>
    <xf numFmtId="164" fontId="9" fillId="0" borderId="1" xfId="0" applyNumberFormat="1" applyFont="1" applyBorder="1"/>
    <xf numFmtId="0" fontId="23" fillId="7" borderId="1" xfId="0" applyFont="1" applyFill="1" applyBorder="1"/>
    <xf numFmtId="164" fontId="23" fillId="7" borderId="1" xfId="0" applyNumberFormat="1" applyFont="1" applyFill="1" applyBorder="1"/>
    <xf numFmtId="0" fontId="26" fillId="7" borderId="1" xfId="0" applyFont="1" applyFill="1" applyBorder="1"/>
    <xf numFmtId="0" fontId="5" fillId="0" borderId="16" xfId="0" applyFont="1" applyFill="1" applyBorder="1" applyAlignment="1">
      <alignment horizontal="left" vertical="top"/>
    </xf>
    <xf numFmtId="164" fontId="5" fillId="0" borderId="17" xfId="0" applyNumberFormat="1" applyFont="1" applyFill="1" applyBorder="1" applyAlignment="1">
      <alignment horizontal="right" vertical="top"/>
    </xf>
    <xf numFmtId="0" fontId="4" fillId="0" borderId="0" xfId="0" applyFont="1" applyFill="1"/>
    <xf numFmtId="0" fontId="4" fillId="0" borderId="8" xfId="0" applyFont="1" applyFill="1" applyBorder="1" applyAlignment="1">
      <alignment horizontal="left" vertical="top"/>
    </xf>
    <xf numFmtId="0" fontId="15" fillId="7" borderId="8" xfId="0" applyFont="1" applyFill="1" applyBorder="1" applyAlignment="1">
      <alignment horizontal="left" vertical="top"/>
    </xf>
    <xf numFmtId="164" fontId="5" fillId="0" borderId="1" xfId="0" applyNumberFormat="1" applyFont="1" applyFill="1" applyBorder="1" applyAlignment="1">
      <alignment horizontal="right" vertical="top"/>
    </xf>
    <xf numFmtId="0" fontId="5" fillId="7" borderId="1" xfId="0" applyFont="1" applyFill="1" applyBorder="1" applyAlignment="1">
      <alignment horizontal="left" vertical="top"/>
    </xf>
    <xf numFmtId="164" fontId="5" fillId="7" borderId="1" xfId="0" applyNumberFormat="1" applyFont="1" applyFill="1" applyBorder="1" applyAlignment="1">
      <alignment horizontal="right" vertical="top"/>
    </xf>
    <xf numFmtId="0" fontId="28" fillId="7" borderId="1" xfId="0" applyFont="1" applyFill="1" applyBorder="1" applyAlignment="1">
      <alignment horizontal="left" vertical="top"/>
    </xf>
    <xf numFmtId="0" fontId="28" fillId="7" borderId="1" xfId="0" applyFont="1" applyFill="1" applyBorder="1"/>
    <xf numFmtId="0" fontId="27" fillId="7" borderId="1" xfId="0" applyFont="1" applyFill="1" applyBorder="1"/>
    <xf numFmtId="164" fontId="27" fillId="7" borderId="1" xfId="0" applyNumberFormat="1" applyFont="1" applyFill="1" applyBorder="1"/>
    <xf numFmtId="4" fontId="5" fillId="0" borderId="17" xfId="0" applyNumberFormat="1" applyFont="1" applyFill="1" applyBorder="1" applyAlignment="1">
      <alignment horizontal="right" vertical="top"/>
    </xf>
    <xf numFmtId="0" fontId="37" fillId="0" borderId="0" xfId="0" applyFont="1" applyFill="1" applyAlignment="1"/>
    <xf numFmtId="0" fontId="0" fillId="0" borderId="0" xfId="0" applyFont="1" applyAlignment="1"/>
    <xf numFmtId="0" fontId="24" fillId="7" borderId="0" xfId="0" applyFont="1" applyFill="1" applyAlignment="1"/>
    <xf numFmtId="0" fontId="10" fillId="0" borderId="1" xfId="0" applyFont="1" applyFill="1" applyBorder="1" applyAlignment="1">
      <alignment horizontal="left" vertical="top"/>
    </xf>
    <xf numFmtId="166" fontId="38" fillId="7" borderId="8" xfId="0" applyNumberFormat="1" applyFont="1" applyFill="1" applyBorder="1" applyAlignment="1">
      <alignment horizontal="right" vertical="top"/>
    </xf>
    <xf numFmtId="49" fontId="38" fillId="7" borderId="1" xfId="0" applyNumberFormat="1" applyFont="1" applyFill="1" applyBorder="1"/>
    <xf numFmtId="0" fontId="39" fillId="7" borderId="0" xfId="0" applyFont="1" applyFill="1"/>
    <xf numFmtId="0" fontId="38" fillId="7" borderId="1" xfId="0" applyFont="1" applyFill="1" applyBorder="1" applyAlignment="1">
      <alignment horizontal="left" vertical="top"/>
    </xf>
    <xf numFmtId="0" fontId="38" fillId="7" borderId="4" xfId="0" applyFont="1" applyFill="1" applyBorder="1" applyAlignment="1">
      <alignment horizontal="left" vertical="top"/>
    </xf>
    <xf numFmtId="49" fontId="15" fillId="7" borderId="1" xfId="0" applyNumberFormat="1" applyFont="1" applyFill="1" applyBorder="1"/>
    <xf numFmtId="49" fontId="15" fillId="7" borderId="24" xfId="0" applyNumberFormat="1" applyFont="1" applyFill="1" applyBorder="1"/>
    <xf numFmtId="0" fontId="15" fillId="7" borderId="4" xfId="0" applyFont="1" applyFill="1" applyBorder="1" applyAlignment="1">
      <alignment horizontal="left" vertical="top"/>
    </xf>
    <xf numFmtId="166" fontId="15" fillId="7" borderId="8" xfId="0" applyNumberFormat="1" applyFont="1" applyFill="1" applyBorder="1" applyAlignment="1">
      <alignment horizontal="right" vertical="top"/>
    </xf>
    <xf numFmtId="0" fontId="15" fillId="16" borderId="1" xfId="0" applyFont="1" applyFill="1" applyBorder="1"/>
    <xf numFmtId="0" fontId="22" fillId="7" borderId="1" xfId="0" applyFont="1" applyFill="1" applyBorder="1" applyAlignment="1">
      <alignment horizontal="center" vertical="top"/>
    </xf>
    <xf numFmtId="0" fontId="23" fillId="7" borderId="1" xfId="0" applyFont="1" applyFill="1" applyBorder="1" applyAlignment="1">
      <alignment horizontal="center" vertical="top"/>
    </xf>
    <xf numFmtId="0" fontId="23" fillId="7" borderId="24" xfId="0" applyFont="1" applyFill="1" applyBorder="1"/>
    <xf numFmtId="0" fontId="23" fillId="7" borderId="4" xfId="0" applyFont="1" applyFill="1" applyBorder="1"/>
    <xf numFmtId="0" fontId="23" fillId="7" borderId="8" xfId="0" applyFont="1" applyFill="1" applyBorder="1" applyAlignment="1">
      <alignment horizontal="left" vertical="top"/>
    </xf>
    <xf numFmtId="49" fontId="22" fillId="7" borderId="1" xfId="0" applyNumberFormat="1" applyFont="1" applyFill="1" applyBorder="1"/>
    <xf numFmtId="49" fontId="23" fillId="7" borderId="1" xfId="0" applyNumberFormat="1" applyFont="1" applyFill="1" applyBorder="1"/>
    <xf numFmtId="0" fontId="23" fillId="7" borderId="24" xfId="0" applyFont="1" applyFill="1" applyBorder="1" applyAlignment="1">
      <alignment horizontal="left" vertical="top"/>
    </xf>
    <xf numFmtId="0" fontId="23" fillId="7" borderId="4" xfId="0" applyFont="1" applyFill="1" applyBorder="1" applyAlignment="1">
      <alignment horizontal="left" vertical="top"/>
    </xf>
    <xf numFmtId="166" fontId="23" fillId="7" borderId="8" xfId="0" applyNumberFormat="1" applyFont="1" applyFill="1" applyBorder="1" applyAlignment="1">
      <alignment horizontal="right" vertical="top"/>
    </xf>
    <xf numFmtId="0" fontId="22" fillId="7" borderId="0" xfId="0" applyFont="1" applyFill="1"/>
    <xf numFmtId="49" fontId="26" fillId="7" borderId="1" xfId="0" applyNumberFormat="1" applyFont="1" applyFill="1" applyBorder="1"/>
    <xf numFmtId="0" fontId="35" fillId="7" borderId="13" xfId="0" applyFont="1" applyFill="1" applyBorder="1" applyAlignment="1">
      <alignment horizontal="center" vertical="top"/>
    </xf>
    <xf numFmtId="0" fontId="35" fillId="7" borderId="12" xfId="0" applyFont="1" applyFill="1" applyBorder="1" applyAlignment="1">
      <alignment horizontal="center" vertical="top"/>
    </xf>
    <xf numFmtId="0" fontId="35" fillId="7" borderId="14" xfId="0" applyFont="1" applyFill="1" applyBorder="1"/>
    <xf numFmtId="0" fontId="35" fillId="7" borderId="4" xfId="0" applyFont="1" applyFill="1" applyBorder="1"/>
    <xf numFmtId="0" fontId="35" fillId="7" borderId="8" xfId="0" applyFont="1" applyFill="1" applyBorder="1" applyAlignment="1">
      <alignment horizontal="left" vertical="top"/>
    </xf>
    <xf numFmtId="49" fontId="35" fillId="17" borderId="1" xfId="0" applyNumberFormat="1" applyFont="1" applyFill="1" applyBorder="1"/>
    <xf numFmtId="0" fontId="35" fillId="17" borderId="24" xfId="0" applyFont="1" applyFill="1" applyBorder="1" applyAlignment="1">
      <alignment horizontal="left" vertical="top"/>
    </xf>
    <xf numFmtId="0" fontId="35" fillId="17" borderId="4" xfId="0" applyFont="1" applyFill="1" applyBorder="1" applyAlignment="1">
      <alignment horizontal="left" vertical="top"/>
    </xf>
    <xf numFmtId="166" fontId="38" fillId="17" borderId="8" xfId="0" applyNumberFormat="1" applyFont="1" applyFill="1" applyBorder="1" applyAlignment="1">
      <alignment horizontal="right" vertical="top"/>
    </xf>
    <xf numFmtId="0" fontId="9" fillId="17" borderId="0" xfId="0" applyFont="1" applyFill="1"/>
    <xf numFmtId="0" fontId="0" fillId="17" borderId="0" xfId="0" applyFont="1" applyFill="1" applyAlignment="1"/>
    <xf numFmtId="166" fontId="35" fillId="17" borderId="8" xfId="0" applyNumberFormat="1" applyFont="1" applyFill="1" applyBorder="1" applyAlignment="1">
      <alignment horizontal="right" vertical="top"/>
    </xf>
    <xf numFmtId="0" fontId="39" fillId="17" borderId="0" xfId="0" applyFont="1" applyFill="1"/>
    <xf numFmtId="0" fontId="21" fillId="17" borderId="0" xfId="0" applyFont="1" applyFill="1" applyAlignment="1"/>
    <xf numFmtId="17" fontId="22" fillId="9" borderId="7" xfId="0" applyNumberFormat="1" applyFont="1" applyFill="1" applyBorder="1" applyAlignment="1">
      <alignment horizontal="center"/>
    </xf>
    <xf numFmtId="0" fontId="22" fillId="9" borderId="5" xfId="0" applyFont="1" applyFill="1" applyBorder="1"/>
    <xf numFmtId="0" fontId="22" fillId="9" borderId="4" xfId="0" applyFont="1" applyFill="1" applyBorder="1"/>
    <xf numFmtId="0" fontId="22" fillId="9" borderId="8" xfId="0" applyFont="1" applyFill="1" applyBorder="1" applyAlignment="1">
      <alignment horizontal="left" vertical="top"/>
    </xf>
    <xf numFmtId="166" fontId="23" fillId="7" borderId="0" xfId="0" applyNumberFormat="1" applyFont="1" applyFill="1"/>
    <xf numFmtId="49" fontId="23" fillId="7" borderId="0" xfId="0" applyNumberFormat="1" applyFont="1" applyFill="1"/>
    <xf numFmtId="0" fontId="23" fillId="7" borderId="0" xfId="0" applyFont="1" applyFill="1" applyAlignment="1">
      <alignment horizontal="left" vertical="top"/>
    </xf>
    <xf numFmtId="0" fontId="16" fillId="18" borderId="16" xfId="0" applyFont="1" applyFill="1" applyBorder="1" applyAlignment="1">
      <alignment horizontal="left" vertical="top"/>
    </xf>
    <xf numFmtId="0" fontId="16" fillId="18" borderId="1" xfId="0" applyFont="1" applyFill="1" applyBorder="1" applyAlignment="1">
      <alignment horizontal="left" vertical="top"/>
    </xf>
    <xf numFmtId="166" fontId="5" fillId="0" borderId="1" xfId="0" applyNumberFormat="1" applyFont="1" applyFill="1" applyBorder="1" applyAlignment="1">
      <alignment horizontal="right" vertical="top"/>
    </xf>
    <xf numFmtId="8" fontId="5" fillId="0" borderId="23" xfId="0" applyNumberFormat="1" applyFont="1" applyBorder="1"/>
    <xf numFmtId="0" fontId="0" fillId="0" borderId="0" xfId="0" applyFont="1" applyAlignment="1"/>
    <xf numFmtId="0" fontId="24" fillId="7" borderId="0" xfId="0" applyFont="1" applyFill="1" applyAlignment="1"/>
    <xf numFmtId="0" fontId="22" fillId="7" borderId="0" xfId="0" applyFont="1" applyFill="1" applyAlignment="1">
      <alignment wrapText="1"/>
    </xf>
    <xf numFmtId="0" fontId="0" fillId="0" borderId="0" xfId="0" applyFont="1" applyAlignment="1"/>
    <xf numFmtId="0" fontId="23" fillId="7" borderId="0" xfId="0" applyFont="1" applyFill="1"/>
    <xf numFmtId="0" fontId="4" fillId="0" borderId="1" xfId="0" applyFont="1" applyFill="1" applyBorder="1" applyAlignment="1">
      <alignment horizontal="left" vertical="top"/>
    </xf>
    <xf numFmtId="0" fontId="4" fillId="0" borderId="28" xfId="0" applyFont="1" applyBorder="1"/>
    <xf numFmtId="0" fontId="5" fillId="0" borderId="31" xfId="0" applyFont="1" applyBorder="1"/>
    <xf numFmtId="164" fontId="5" fillId="0" borderId="31" xfId="0" applyNumberFormat="1" applyFont="1" applyBorder="1"/>
    <xf numFmtId="0" fontId="17" fillId="0" borderId="30" xfId="0" applyFont="1" applyBorder="1" applyAlignment="1"/>
    <xf numFmtId="0" fontId="0" fillId="0" borderId="30" xfId="0" applyFont="1" applyBorder="1" applyAlignment="1"/>
    <xf numFmtId="0" fontId="5" fillId="8" borderId="0" xfId="0" applyFont="1" applyFill="1" applyAlignment="1">
      <alignment wrapText="1"/>
    </xf>
    <xf numFmtId="0" fontId="0" fillId="8" borderId="0" xfId="0" applyFont="1" applyFill="1" applyAlignment="1"/>
    <xf numFmtId="49" fontId="15" fillId="11" borderId="27" xfId="0" applyNumberFormat="1" applyFont="1" applyFill="1" applyBorder="1" applyAlignment="1">
      <alignment wrapText="1"/>
    </xf>
    <xf numFmtId="0" fontId="0" fillId="0" borderId="27" xfId="0" applyFont="1" applyBorder="1" applyAlignment="1"/>
    <xf numFmtId="0" fontId="22" fillId="7" borderId="28" xfId="0" applyFont="1" applyFill="1" applyBorder="1" applyAlignment="1">
      <alignment wrapText="1"/>
    </xf>
    <xf numFmtId="0" fontId="18" fillId="0" borderId="28" xfId="0" applyFont="1" applyBorder="1" applyAlignment="1"/>
    <xf numFmtId="0" fontId="22" fillId="7" borderId="29" xfId="0" applyFont="1" applyFill="1" applyBorder="1" applyAlignment="1">
      <alignment wrapText="1"/>
    </xf>
    <xf numFmtId="0" fontId="0" fillId="0" borderId="29" xfId="0" applyFont="1" applyBorder="1" applyAlignment="1">
      <alignment wrapText="1"/>
    </xf>
    <xf numFmtId="0" fontId="26" fillId="7" borderId="9" xfId="0" applyFont="1" applyFill="1" applyBorder="1" applyAlignment="1">
      <alignment wrapText="1"/>
    </xf>
    <xf numFmtId="0" fontId="0" fillId="0" borderId="9" xfId="0" applyFont="1" applyBorder="1" applyAlignment="1"/>
    <xf numFmtId="0" fontId="22" fillId="7" borderId="0" xfId="0" applyFont="1" applyFill="1" applyAlignment="1">
      <alignment wrapText="1"/>
    </xf>
    <xf numFmtId="0" fontId="0" fillId="0" borderId="0" xfId="0" applyFont="1" applyAlignment="1"/>
    <xf numFmtId="0" fontId="26" fillId="7" borderId="25" xfId="0" applyFont="1" applyFill="1" applyBorder="1" applyAlignment="1">
      <alignment wrapText="1"/>
    </xf>
    <xf numFmtId="0" fontId="0" fillId="0" borderId="25" xfId="0" applyFont="1" applyBorder="1" applyAlignment="1"/>
    <xf numFmtId="0" fontId="26" fillId="13" borderId="1" xfId="0" applyFont="1" applyFill="1" applyBorder="1" applyAlignment="1">
      <alignment wrapText="1"/>
    </xf>
    <xf numFmtId="0" fontId="32" fillId="0" borderId="0" xfId="0" applyFont="1" applyAlignment="1"/>
    <xf numFmtId="0" fontId="23" fillId="7" borderId="0" xfId="0" applyFont="1" applyFill="1" applyAlignment="1">
      <alignment wrapText="1"/>
    </xf>
    <xf numFmtId="0" fontId="24" fillId="7" borderId="0" xfId="0" applyFont="1" applyFill="1" applyAlignment="1"/>
    <xf numFmtId="0" fontId="15" fillId="7" borderId="0" xfId="0" applyFont="1" applyFill="1" applyAlignment="1">
      <alignment wrapText="1"/>
    </xf>
    <xf numFmtId="0" fontId="0" fillId="0" borderId="0" xfId="0" applyFont="1" applyAlignment="1">
      <alignment wrapText="1"/>
    </xf>
    <xf numFmtId="0" fontId="26" fillId="7" borderId="0" xfId="0" applyFont="1" applyFill="1" applyAlignment="1">
      <alignment wrapText="1"/>
    </xf>
    <xf numFmtId="0" fontId="15" fillId="9" borderId="9" xfId="0" applyFont="1" applyFill="1" applyBorder="1" applyAlignment="1">
      <alignment horizontal="center" vertical="top" wrapText="1"/>
    </xf>
    <xf numFmtId="166" fontId="15" fillId="11" borderId="25" xfId="0" applyNumberFormat="1" applyFont="1" applyFill="1" applyBorder="1" applyAlignment="1">
      <alignment horizontal="right" vertical="top"/>
    </xf>
    <xf numFmtId="0" fontId="15" fillId="14" borderId="9" xfId="0" applyFont="1" applyFill="1" applyBorder="1" applyAlignment="1">
      <alignment horizontal="left" vertical="top"/>
    </xf>
    <xf numFmtId="0" fontId="23" fillId="7" borderId="0" xfId="0" applyFont="1" applyFill="1" applyAlignment="1"/>
    <xf numFmtId="0" fontId="5" fillId="0" borderId="24" xfId="0" applyFont="1" applyBorder="1" applyAlignment="1">
      <alignment horizontal="left" vertical="top"/>
    </xf>
    <xf numFmtId="49" fontId="5" fillId="0" borderId="24" xfId="0" applyNumberFormat="1" applyFont="1" applyBorder="1"/>
    <xf numFmtId="0" fontId="15" fillId="18" borderId="21" xfId="0" applyFont="1" applyFill="1" applyBorder="1" applyAlignment="1">
      <alignment horizontal="left"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595959"/>
                </a:solidFill>
                <a:latin typeface="Calibri"/>
              </a:defRPr>
            </a:pPr>
            <a:r>
              <a:rPr lang="en-AU"/>
              <a:t>Rolling Year-to-Date Cost to Produce per Litre ($/ML) 2013-Jul to 2014-Jun</a:t>
            </a:r>
          </a:p>
        </c:rich>
      </c:tx>
      <c:overlay val="0"/>
    </c:title>
    <c:autoTitleDeleted val="0"/>
    <c:plotArea>
      <c:layout/>
      <c:lineChart>
        <c:grouping val="standard"/>
        <c:varyColors val="1"/>
        <c:ser>
          <c:idx val="0"/>
          <c:order val="0"/>
          <c:spPr>
            <a:ln w="19050" cmpd="sng">
              <a:solidFill>
                <a:srgbClr val="DBDBDB"/>
              </a:solidFill>
            </a:ln>
          </c:spPr>
          <c:marker>
            <c:symbol val="none"/>
          </c:marker>
          <c:val>
            <c:numRef>
              <c:f>'Cost to Produce'!$C$12:$N$12</c:f>
              <c:numCache>
                <c:formatCode>"$"#,##0.00;[Red]\-"$"#,##0.00</c:formatCode>
                <c:ptCount val="12"/>
                <c:pt idx="0">
                  <c:v>18.742832723231448</c:v>
                </c:pt>
                <c:pt idx="1">
                  <c:v>21.93266058189171</c:v>
                </c:pt>
                <c:pt idx="2">
                  <c:v>21.282009505963206</c:v>
                </c:pt>
                <c:pt idx="3">
                  <c:v>20.504969032897609</c:v>
                </c:pt>
                <c:pt idx="4">
                  <c:v>22.386145702756234</c:v>
                </c:pt>
                <c:pt idx="5">
                  <c:v>21.722428671760404</c:v>
                </c:pt>
                <c:pt idx="6">
                  <c:v>21.949977632251699</c:v>
                </c:pt>
                <c:pt idx="7">
                  <c:v>22.082220953941096</c:v>
                </c:pt>
                <c:pt idx="8">
                  <c:v>21.707559358647668</c:v>
                </c:pt>
                <c:pt idx="9">
                  <c:v>21.675000030497188</c:v>
                </c:pt>
                <c:pt idx="10">
                  <c:v>21.783646940063736</c:v>
                </c:pt>
                <c:pt idx="11">
                  <c:v>22.425636564688531</c:v>
                </c:pt>
              </c:numCache>
            </c:numRef>
          </c:val>
          <c:smooth val="1"/>
          <c:extLst>
            <c:ext xmlns:c16="http://schemas.microsoft.com/office/drawing/2014/chart" uri="{C3380CC4-5D6E-409C-BE32-E72D297353CC}">
              <c16:uniqueId val="{00000000-507D-46BC-B40B-4CA087F7EA23}"/>
            </c:ext>
          </c:extLst>
        </c:ser>
        <c:dLbls>
          <c:showLegendKey val="0"/>
          <c:showVal val="0"/>
          <c:showCatName val="0"/>
          <c:showSerName val="0"/>
          <c:showPercent val="0"/>
          <c:showBubbleSize val="0"/>
        </c:dLbls>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min val="25"/>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Sheet4!$A$3:$B$3</c:f>
              <c:strCache>
                <c:ptCount val="2"/>
                <c:pt idx="0">
                  <c:v>Actual Cost to Produce (Rolling)</c:v>
                </c:pt>
                <c:pt idx="1">
                  <c:v>$/Mega-Litres</c:v>
                </c:pt>
              </c:strCache>
            </c:strRef>
          </c:tx>
          <c:spPr>
            <a:solidFill>
              <a:schemeClr val="accent1"/>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Sheet4!$C$3:$N$3</c:f>
              <c:numCache>
                <c:formatCode>"$"#,##0.00;[Red]\-"$"#,##0.00</c:formatCode>
                <c:ptCount val="12"/>
                <c:pt idx="0">
                  <c:v>18.742832723231448</c:v>
                </c:pt>
                <c:pt idx="1">
                  <c:v>21.93266058189171</c:v>
                </c:pt>
                <c:pt idx="2">
                  <c:v>21.282009505963206</c:v>
                </c:pt>
                <c:pt idx="3">
                  <c:v>20.504969032897609</c:v>
                </c:pt>
                <c:pt idx="4">
                  <c:v>22.386145702756234</c:v>
                </c:pt>
                <c:pt idx="5">
                  <c:v>21.722428671760404</c:v>
                </c:pt>
                <c:pt idx="6">
                  <c:v>21.949977632251699</c:v>
                </c:pt>
                <c:pt idx="7">
                  <c:v>22.082220953941096</c:v>
                </c:pt>
                <c:pt idx="8">
                  <c:v>21.707559358647668</c:v>
                </c:pt>
                <c:pt idx="9">
                  <c:v>21.675000030497188</c:v>
                </c:pt>
                <c:pt idx="10">
                  <c:v>21.783646940063736</c:v>
                </c:pt>
                <c:pt idx="11">
                  <c:v>22.425636564688531</c:v>
                </c:pt>
              </c:numCache>
            </c:numRef>
          </c:val>
          <c:extLst>
            <c:ext xmlns:c16="http://schemas.microsoft.com/office/drawing/2014/chart" uri="{C3380CC4-5D6E-409C-BE32-E72D297353CC}">
              <c16:uniqueId val="{00000000-AC8A-D44F-94A8-FD39E433EFF1}"/>
            </c:ext>
          </c:extLst>
        </c:ser>
        <c:ser>
          <c:idx val="1"/>
          <c:order val="1"/>
          <c:tx>
            <c:strRef>
              <c:f>Sheet4!$A$4:$B$4</c:f>
              <c:strCache>
                <c:ptCount val="2"/>
                <c:pt idx="0">
                  <c:v>Budget Cost to Produce (Rolling)</c:v>
                </c:pt>
                <c:pt idx="1">
                  <c:v>$/Mega-Litres</c:v>
                </c:pt>
              </c:strCache>
            </c:strRef>
          </c:tx>
          <c:spPr>
            <a:solidFill>
              <a:schemeClr val="accent2"/>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Sheet4!$C$4:$N$4</c:f>
              <c:numCache>
                <c:formatCode>"$"#,##0.00;[Red]\-"$"#,##0.00</c:formatCode>
                <c:ptCount val="12"/>
                <c:pt idx="0">
                  <c:v>17.04699940862529</c:v>
                </c:pt>
                <c:pt idx="1">
                  <c:v>15.929152563370595</c:v>
                </c:pt>
                <c:pt idx="2">
                  <c:v>26.805048797647096</c:v>
                </c:pt>
                <c:pt idx="3">
                  <c:v>19.470090265515587</c:v>
                </c:pt>
                <c:pt idx="4">
                  <c:v>36.282379179907572</c:v>
                </c:pt>
                <c:pt idx="5">
                  <c:v>18.209498428145807</c:v>
                </c:pt>
                <c:pt idx="6">
                  <c:v>18.865595340342523</c:v>
                </c:pt>
                <c:pt idx="7">
                  <c:v>23.705901922539738</c:v>
                </c:pt>
                <c:pt idx="8">
                  <c:v>19.188555087494478</c:v>
                </c:pt>
                <c:pt idx="9">
                  <c:v>20.710456901297448</c:v>
                </c:pt>
                <c:pt idx="10">
                  <c:v>20.688723799746647</c:v>
                </c:pt>
                <c:pt idx="11">
                  <c:v>26.364460943103403</c:v>
                </c:pt>
              </c:numCache>
            </c:numRef>
          </c:val>
          <c:extLst>
            <c:ext xmlns:c16="http://schemas.microsoft.com/office/drawing/2014/chart" uri="{C3380CC4-5D6E-409C-BE32-E72D297353CC}">
              <c16:uniqueId val="{00000001-AC8A-D44F-94A8-FD39E433EFF1}"/>
            </c:ext>
          </c:extLst>
        </c:ser>
        <c:dLbls>
          <c:showLegendKey val="0"/>
          <c:showVal val="0"/>
          <c:showCatName val="0"/>
          <c:showSerName val="0"/>
          <c:showPercent val="0"/>
          <c:showBubbleSize val="0"/>
        </c:dLbls>
        <c:gapWidth val="150"/>
        <c:axId val="1799115808"/>
        <c:axId val="1802206272"/>
      </c:barChart>
      <c:catAx>
        <c:axId val="17991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206272"/>
        <c:crosses val="autoZero"/>
        <c:auto val="1"/>
        <c:lblAlgn val="ctr"/>
        <c:lblOffset val="100"/>
        <c:noMultiLvlLbl val="0"/>
      </c:catAx>
      <c:valAx>
        <c:axId val="1802206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115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Sheet4!$A$26:$B$26</c:f>
              <c:strCache>
                <c:ptCount val="2"/>
                <c:pt idx="0">
                  <c:v>Actual Cost to Produce (Rolling)</c:v>
                </c:pt>
                <c:pt idx="1">
                  <c:v>$/Mega-Litres</c:v>
                </c:pt>
              </c:strCache>
            </c:strRef>
          </c:tx>
          <c:spPr>
            <a:solidFill>
              <a:schemeClr val="accent1"/>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Sheet4!$C$26:$N$26</c:f>
              <c:numCache>
                <c:formatCode>"$"#,##0.00;[Red]\-"$"#,##0.00</c:formatCode>
                <c:ptCount val="12"/>
                <c:pt idx="0">
                  <c:v>57.45487966848652</c:v>
                </c:pt>
                <c:pt idx="1">
                  <c:v>61.392023003463358</c:v>
                </c:pt>
                <c:pt idx="2">
                  <c:v>62.882151555739604</c:v>
                </c:pt>
                <c:pt idx="3">
                  <c:v>63.089544217023779</c:v>
                </c:pt>
                <c:pt idx="4">
                  <c:v>68.065265722846576</c:v>
                </c:pt>
                <c:pt idx="5">
                  <c:v>64.052901793585065</c:v>
                </c:pt>
                <c:pt idx="6">
                  <c:v>59.851811831963715</c:v>
                </c:pt>
                <c:pt idx="7">
                  <c:v>56.785797439154138</c:v>
                </c:pt>
                <c:pt idx="8">
                  <c:v>52.587434391814817</c:v>
                </c:pt>
                <c:pt idx="9">
                  <c:v>51.1409989583574</c:v>
                </c:pt>
                <c:pt idx="10">
                  <c:v>50.508128639335695</c:v>
                </c:pt>
                <c:pt idx="11">
                  <c:v>48.12989502414775</c:v>
                </c:pt>
              </c:numCache>
            </c:numRef>
          </c:val>
          <c:extLst>
            <c:ext xmlns:c16="http://schemas.microsoft.com/office/drawing/2014/chart" uri="{C3380CC4-5D6E-409C-BE32-E72D297353CC}">
              <c16:uniqueId val="{00000000-2362-1A46-BF04-91268A2350C1}"/>
            </c:ext>
          </c:extLst>
        </c:ser>
        <c:ser>
          <c:idx val="1"/>
          <c:order val="1"/>
          <c:tx>
            <c:strRef>
              <c:f>Sheet4!$A$27:$B$27</c:f>
              <c:strCache>
                <c:ptCount val="2"/>
                <c:pt idx="0">
                  <c:v>Budget Cost to Produce (Rolling)</c:v>
                </c:pt>
                <c:pt idx="1">
                  <c:v>$/Mega-Litres</c:v>
                </c:pt>
              </c:strCache>
            </c:strRef>
          </c:tx>
          <c:spPr>
            <a:solidFill>
              <a:schemeClr val="accent2"/>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Sheet4!$C$27:$N$27</c:f>
              <c:numCache>
                <c:formatCode>"$"#,##0.00;[Red]\-"$"#,##0.00</c:formatCode>
                <c:ptCount val="12"/>
                <c:pt idx="0">
                  <c:v>50.974842269269757</c:v>
                </c:pt>
                <c:pt idx="1">
                  <c:v>49.763704396768382</c:v>
                </c:pt>
                <c:pt idx="2">
                  <c:v>70.398773550679948</c:v>
                </c:pt>
                <c:pt idx="3">
                  <c:v>60.502901816400772</c:v>
                </c:pt>
                <c:pt idx="4">
                  <c:v>66.326049806550088</c:v>
                </c:pt>
                <c:pt idx="5">
                  <c:v>52.40547464770016</c:v>
                </c:pt>
                <c:pt idx="6">
                  <c:v>37.222581944540252</c:v>
                </c:pt>
                <c:pt idx="7">
                  <c:v>31.708122434553864</c:v>
                </c:pt>
                <c:pt idx="8">
                  <c:v>33.51825925681343</c:v>
                </c:pt>
                <c:pt idx="9">
                  <c:v>39.958136096729319</c:v>
                </c:pt>
                <c:pt idx="10">
                  <c:v>37.36644996384782</c:v>
                </c:pt>
                <c:pt idx="11">
                  <c:v>42.949275594588386</c:v>
                </c:pt>
              </c:numCache>
            </c:numRef>
          </c:val>
          <c:extLst>
            <c:ext xmlns:c16="http://schemas.microsoft.com/office/drawing/2014/chart" uri="{C3380CC4-5D6E-409C-BE32-E72D297353CC}">
              <c16:uniqueId val="{00000001-2362-1A46-BF04-91268A2350C1}"/>
            </c:ext>
          </c:extLst>
        </c:ser>
        <c:dLbls>
          <c:showLegendKey val="0"/>
          <c:showVal val="0"/>
          <c:showCatName val="0"/>
          <c:showSerName val="0"/>
          <c:showPercent val="0"/>
          <c:showBubbleSize val="0"/>
        </c:dLbls>
        <c:gapWidth val="150"/>
        <c:axId val="1799115808"/>
        <c:axId val="1802206272"/>
      </c:barChart>
      <c:catAx>
        <c:axId val="17991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206272"/>
        <c:crosses val="autoZero"/>
        <c:auto val="1"/>
        <c:lblAlgn val="ctr"/>
        <c:lblOffset val="100"/>
        <c:noMultiLvlLbl val="0"/>
      </c:catAx>
      <c:valAx>
        <c:axId val="1802206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115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Sheet4!$A$49:$B$49</c:f>
              <c:strCache>
                <c:ptCount val="2"/>
                <c:pt idx="0">
                  <c:v>Actual Cost to Produce (Rolling)</c:v>
                </c:pt>
                <c:pt idx="1">
                  <c:v>$/Mega-Litres</c:v>
                </c:pt>
              </c:strCache>
            </c:strRef>
          </c:tx>
          <c:spPr>
            <a:solidFill>
              <a:schemeClr val="accent1"/>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Sheet4!$C$49:$N$49</c:f>
              <c:numCache>
                <c:formatCode>"$"#,##0.00;[Red]\-"$"#,##0.00</c:formatCode>
                <c:ptCount val="12"/>
                <c:pt idx="0">
                  <c:v>21.108831850686485</c:v>
                </c:pt>
                <c:pt idx="1">
                  <c:v>20.730006681609698</c:v>
                </c:pt>
                <c:pt idx="2">
                  <c:v>22.904867459938107</c:v>
                </c:pt>
                <c:pt idx="3">
                  <c:v>23.797484985969422</c:v>
                </c:pt>
                <c:pt idx="4">
                  <c:v>22.932462422344717</c:v>
                </c:pt>
                <c:pt idx="5">
                  <c:v>22.599512536833672</c:v>
                </c:pt>
                <c:pt idx="6">
                  <c:v>21.891972455245735</c:v>
                </c:pt>
                <c:pt idx="7">
                  <c:v>20.902520234693288</c:v>
                </c:pt>
                <c:pt idx="8">
                  <c:v>21.268804321764094</c:v>
                </c:pt>
                <c:pt idx="9">
                  <c:v>21.207781719260886</c:v>
                </c:pt>
                <c:pt idx="10">
                  <c:v>21.45513754910586</c:v>
                </c:pt>
                <c:pt idx="11">
                  <c:v>22.243839787271916</c:v>
                </c:pt>
              </c:numCache>
            </c:numRef>
          </c:val>
          <c:extLst>
            <c:ext xmlns:c16="http://schemas.microsoft.com/office/drawing/2014/chart" uri="{C3380CC4-5D6E-409C-BE32-E72D297353CC}">
              <c16:uniqueId val="{00000000-36A2-B143-B33D-61FC721931C0}"/>
            </c:ext>
          </c:extLst>
        </c:ser>
        <c:ser>
          <c:idx val="1"/>
          <c:order val="1"/>
          <c:tx>
            <c:strRef>
              <c:f>Sheet4!$A$50:$B$50</c:f>
              <c:strCache>
                <c:ptCount val="2"/>
                <c:pt idx="0">
                  <c:v>Budget Cost to Produce (Rolling)</c:v>
                </c:pt>
                <c:pt idx="1">
                  <c:v>$/Mega-Litres</c:v>
                </c:pt>
              </c:strCache>
            </c:strRef>
          </c:tx>
          <c:spPr>
            <a:solidFill>
              <a:schemeClr val="accent2"/>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Sheet4!$C$50:$N$50</c:f>
              <c:numCache>
                <c:formatCode>"$"#,##0.00;[Red]\-"$"#,##0.00</c:formatCode>
                <c:ptCount val="12"/>
                <c:pt idx="0">
                  <c:v>23.317805303319844</c:v>
                </c:pt>
                <c:pt idx="1">
                  <c:v>24.219150848811978</c:v>
                </c:pt>
                <c:pt idx="2">
                  <c:v>25.248191487417611</c:v>
                </c:pt>
                <c:pt idx="3">
                  <c:v>17.764656176565065</c:v>
                </c:pt>
                <c:pt idx="4">
                  <c:v>31.356104983695317</c:v>
                </c:pt>
                <c:pt idx="5">
                  <c:v>16.780730762151059</c:v>
                </c:pt>
                <c:pt idx="6">
                  <c:v>17.75701363556</c:v>
                </c:pt>
                <c:pt idx="7">
                  <c:v>16.183988362040939</c:v>
                </c:pt>
                <c:pt idx="8">
                  <c:v>20.742217897659724</c:v>
                </c:pt>
                <c:pt idx="9">
                  <c:v>39.730119440934772</c:v>
                </c:pt>
                <c:pt idx="10">
                  <c:v>40.368228234760636</c:v>
                </c:pt>
                <c:pt idx="11">
                  <c:v>33.443351545238528</c:v>
                </c:pt>
              </c:numCache>
            </c:numRef>
          </c:val>
          <c:extLst>
            <c:ext xmlns:c16="http://schemas.microsoft.com/office/drawing/2014/chart" uri="{C3380CC4-5D6E-409C-BE32-E72D297353CC}">
              <c16:uniqueId val="{00000001-36A2-B143-B33D-61FC721931C0}"/>
            </c:ext>
          </c:extLst>
        </c:ser>
        <c:dLbls>
          <c:showLegendKey val="0"/>
          <c:showVal val="0"/>
          <c:showCatName val="0"/>
          <c:showSerName val="0"/>
          <c:showPercent val="0"/>
          <c:showBubbleSize val="0"/>
        </c:dLbls>
        <c:gapWidth val="150"/>
        <c:axId val="1799115808"/>
        <c:axId val="1802206272"/>
      </c:barChart>
      <c:catAx>
        <c:axId val="17991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206272"/>
        <c:crosses val="autoZero"/>
        <c:auto val="1"/>
        <c:lblAlgn val="ctr"/>
        <c:lblOffset val="100"/>
        <c:noMultiLvlLbl val="0"/>
      </c:catAx>
      <c:valAx>
        <c:axId val="1802206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115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Units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Sheet4!$A$72:$B$72</c:f>
              <c:strCache>
                <c:ptCount val="2"/>
                <c:pt idx="0">
                  <c:v>Actual Cost to Produce (Rolling)</c:v>
                </c:pt>
                <c:pt idx="1">
                  <c:v>$/Mega-Litres</c:v>
                </c:pt>
              </c:strCache>
            </c:strRef>
          </c:tx>
          <c:spPr>
            <a:solidFill>
              <a:schemeClr val="accent1"/>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Sheet4!$C$72:$N$72</c:f>
              <c:numCache>
                <c:formatCode>"$"#,##0.00;[Red]\-"$"#,##0.00</c:formatCode>
                <c:ptCount val="12"/>
                <c:pt idx="0">
                  <c:v>32.51713711737181</c:v>
                </c:pt>
                <c:pt idx="1">
                  <c:v>35.274262321141222</c:v>
                </c:pt>
                <c:pt idx="2">
                  <c:v>36.512178207603895</c:v>
                </c:pt>
                <c:pt idx="3">
                  <c:v>37.65539791300889</c:v>
                </c:pt>
                <c:pt idx="4">
                  <c:v>40.260721514487528</c:v>
                </c:pt>
                <c:pt idx="5">
                  <c:v>38.688207095620896</c:v>
                </c:pt>
                <c:pt idx="6">
                  <c:v>36.941136420629149</c:v>
                </c:pt>
                <c:pt idx="7">
                  <c:v>35.699638303730481</c:v>
                </c:pt>
                <c:pt idx="8">
                  <c:v>34.4419628489632</c:v>
                </c:pt>
                <c:pt idx="9">
                  <c:v>34.058425845177702</c:v>
                </c:pt>
                <c:pt idx="10">
                  <c:v>34.114232796761719</c:v>
                </c:pt>
                <c:pt idx="11">
                  <c:v>33.657442894960788</c:v>
                </c:pt>
              </c:numCache>
            </c:numRef>
          </c:val>
          <c:extLst>
            <c:ext xmlns:c16="http://schemas.microsoft.com/office/drawing/2014/chart" uri="{C3380CC4-5D6E-409C-BE32-E72D297353CC}">
              <c16:uniqueId val="{00000000-3D24-7A4C-8CD5-F2BD7BDA33C2}"/>
            </c:ext>
          </c:extLst>
        </c:ser>
        <c:ser>
          <c:idx val="1"/>
          <c:order val="1"/>
          <c:tx>
            <c:strRef>
              <c:f>Sheet4!$A$73:$B$73</c:f>
              <c:strCache>
                <c:ptCount val="2"/>
                <c:pt idx="0">
                  <c:v>Budget Cost to Produce (Rolling)</c:v>
                </c:pt>
                <c:pt idx="1">
                  <c:v>$/Mega-Litres</c:v>
                </c:pt>
              </c:strCache>
            </c:strRef>
          </c:tx>
          <c:spPr>
            <a:solidFill>
              <a:schemeClr val="accent2"/>
            </a:solidFill>
            <a:ln>
              <a:noFill/>
            </a:ln>
            <a:effectLst/>
          </c:spPr>
          <c:invertIfNegative val="0"/>
          <c:cat>
            <c:multiLvlStrRef>
              <c:f>Sheet4!$C$1:$N$2</c:f>
              <c:multiLvlStrCache>
                <c:ptCount val="12"/>
                <c:lvl>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lvl>
                <c:lvl/>
              </c:multiLvlStrCache>
            </c:multiLvlStrRef>
          </c:cat>
          <c:val>
            <c:numRef>
              <c:f>Sheet4!$C$73:$N$73</c:f>
              <c:numCache>
                <c:formatCode>"$"#,##0.00;[Red]\-"$"#,##0.00</c:formatCode>
                <c:ptCount val="12"/>
                <c:pt idx="0">
                  <c:v>31.057542276282895</c:v>
                </c:pt>
                <c:pt idx="1">
                  <c:v>31.049679137461652</c:v>
                </c:pt>
                <c:pt idx="2">
                  <c:v>42.341353443541756</c:v>
                </c:pt>
                <c:pt idx="3">
                  <c:v>37.708148771476978</c:v>
                </c:pt>
                <c:pt idx="4">
                  <c:v>48.394277584389322</c:v>
                </c:pt>
                <c:pt idx="5">
                  <c:v>32.369553120516841</c:v>
                </c:pt>
                <c:pt idx="6">
                  <c:v>25.745976094056214</c:v>
                </c:pt>
                <c:pt idx="7">
                  <c:v>25.041524554563868</c:v>
                </c:pt>
                <c:pt idx="8">
                  <c:v>26.942778830473102</c:v>
                </c:pt>
                <c:pt idx="9">
                  <c:v>34.046226049533431</c:v>
                </c:pt>
                <c:pt idx="10">
                  <c:v>33.236638904736367</c:v>
                </c:pt>
                <c:pt idx="11">
                  <c:v>36.481239948563669</c:v>
                </c:pt>
              </c:numCache>
            </c:numRef>
          </c:val>
          <c:extLst>
            <c:ext xmlns:c16="http://schemas.microsoft.com/office/drawing/2014/chart" uri="{C3380CC4-5D6E-409C-BE32-E72D297353CC}">
              <c16:uniqueId val="{00000001-3D24-7A4C-8CD5-F2BD7BDA33C2}"/>
            </c:ext>
          </c:extLst>
        </c:ser>
        <c:dLbls>
          <c:showLegendKey val="0"/>
          <c:showVal val="0"/>
          <c:showCatName val="0"/>
          <c:showSerName val="0"/>
          <c:showPercent val="0"/>
          <c:showBubbleSize val="0"/>
        </c:dLbls>
        <c:gapWidth val="150"/>
        <c:axId val="1799115808"/>
        <c:axId val="1802206272"/>
      </c:barChart>
      <c:catAx>
        <c:axId val="17991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206272"/>
        <c:crosses val="autoZero"/>
        <c:auto val="1"/>
        <c:lblAlgn val="ctr"/>
        <c:lblOffset val="100"/>
        <c:noMultiLvlLbl val="0"/>
      </c:catAx>
      <c:valAx>
        <c:axId val="1802206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115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 of Kootha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EBIT!$A$110:$B$110</c:f>
              <c:strCache>
                <c:ptCount val="2"/>
                <c:pt idx="0">
                  <c:v>EBIT ACTUALS</c:v>
                </c:pt>
                <c:pt idx="1">
                  <c:v>$</c:v>
                </c:pt>
              </c:strCache>
            </c:strRef>
          </c:tx>
          <c:spPr>
            <a:ln w="28575" cap="rnd">
              <a:solidFill>
                <a:schemeClr val="accent1"/>
              </a:solidFill>
              <a:round/>
            </a:ln>
            <a:effectLst/>
          </c:spPr>
          <c:marker>
            <c:symbol val="none"/>
          </c:marker>
          <c:cat>
            <c:strRef>
              <c:f>EBIT!$C$109:$N$109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EBIT!$C$110:$N$110</c:f>
              <c:numCache>
                <c:formatCode>"$"#,##0.00;[Red]\-"$"#,##0.00</c:formatCode>
                <c:ptCount val="12"/>
                <c:pt idx="0">
                  <c:v>5050444.6000000108</c:v>
                </c:pt>
                <c:pt idx="1">
                  <c:v>3458379.4399999995</c:v>
                </c:pt>
                <c:pt idx="2">
                  <c:v>3839682.26000001</c:v>
                </c:pt>
                <c:pt idx="3">
                  <c:v>3976825.3</c:v>
                </c:pt>
                <c:pt idx="4">
                  <c:v>4293385.9399999995</c:v>
                </c:pt>
                <c:pt idx="5">
                  <c:v>4234069.25</c:v>
                </c:pt>
                <c:pt idx="6">
                  <c:v>6841506.4900000002</c:v>
                </c:pt>
                <c:pt idx="7">
                  <c:v>6231843.8199999994</c:v>
                </c:pt>
                <c:pt idx="8">
                  <c:v>6794153.2699999996</c:v>
                </c:pt>
                <c:pt idx="9">
                  <c:v>3978411.3600000008</c:v>
                </c:pt>
                <c:pt idx="10">
                  <c:v>3834317.4299999997</c:v>
                </c:pt>
                <c:pt idx="11">
                  <c:v>2995697.51</c:v>
                </c:pt>
              </c:numCache>
            </c:numRef>
          </c:val>
          <c:smooth val="0"/>
          <c:extLst>
            <c:ext xmlns:c16="http://schemas.microsoft.com/office/drawing/2014/chart" uri="{C3380CC4-5D6E-409C-BE32-E72D297353CC}">
              <c16:uniqueId val="{00000000-E6DC-7842-8C57-AD72FA1117D0}"/>
            </c:ext>
          </c:extLst>
        </c:ser>
        <c:ser>
          <c:idx val="1"/>
          <c:order val="1"/>
          <c:tx>
            <c:strRef>
              <c:f>EBIT!$A$111:$B$111</c:f>
              <c:strCache>
                <c:ptCount val="2"/>
                <c:pt idx="0">
                  <c:v>EBIT BUDGET</c:v>
                </c:pt>
                <c:pt idx="1">
                  <c:v>$</c:v>
                </c:pt>
              </c:strCache>
            </c:strRef>
          </c:tx>
          <c:spPr>
            <a:ln w="28575" cap="rnd">
              <a:solidFill>
                <a:schemeClr val="accent2"/>
              </a:solidFill>
              <a:round/>
            </a:ln>
            <a:effectLst/>
          </c:spPr>
          <c:marker>
            <c:symbol val="none"/>
          </c:marker>
          <c:cat>
            <c:strRef>
              <c:f>EBIT!$C$109:$N$109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EBIT!$C$111:$N$111</c:f>
              <c:numCache>
                <c:formatCode>"$"#,##0.00;[Red]\-"$"#,##0.00</c:formatCode>
                <c:ptCount val="12"/>
                <c:pt idx="0">
                  <c:v>5282428.99</c:v>
                </c:pt>
                <c:pt idx="1">
                  <c:v>3014314.84</c:v>
                </c:pt>
                <c:pt idx="2">
                  <c:v>937282.71</c:v>
                </c:pt>
                <c:pt idx="3">
                  <c:v>695698.95000000019</c:v>
                </c:pt>
                <c:pt idx="4">
                  <c:v>3800344.8500000006</c:v>
                </c:pt>
                <c:pt idx="5">
                  <c:v>4645081.8800000008</c:v>
                </c:pt>
                <c:pt idx="6">
                  <c:v>7033013.290000001</c:v>
                </c:pt>
                <c:pt idx="7">
                  <c:v>6182775.0500000007</c:v>
                </c:pt>
                <c:pt idx="8">
                  <c:v>6958599.8000000007</c:v>
                </c:pt>
                <c:pt idx="9">
                  <c:v>4551309.7100000009</c:v>
                </c:pt>
                <c:pt idx="10">
                  <c:v>4048270.16</c:v>
                </c:pt>
                <c:pt idx="11">
                  <c:v>4074116.5000000005</c:v>
                </c:pt>
              </c:numCache>
            </c:numRef>
          </c:val>
          <c:smooth val="0"/>
          <c:extLst>
            <c:ext xmlns:c16="http://schemas.microsoft.com/office/drawing/2014/chart" uri="{C3380CC4-5D6E-409C-BE32-E72D297353CC}">
              <c16:uniqueId val="{00000001-E6DC-7842-8C57-AD72FA1117D0}"/>
            </c:ext>
          </c:extLst>
        </c:ser>
        <c:dLbls>
          <c:showLegendKey val="0"/>
          <c:showVal val="0"/>
          <c:showCatName val="0"/>
          <c:showSerName val="0"/>
          <c:showPercent val="0"/>
          <c:showBubbleSize val="0"/>
        </c:dLbls>
        <c:smooth val="0"/>
        <c:axId val="1826214160"/>
        <c:axId val="1796397856"/>
      </c:lineChart>
      <c:catAx>
        <c:axId val="182621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397856"/>
        <c:crosses val="autoZero"/>
        <c:auto val="1"/>
        <c:lblAlgn val="ctr"/>
        <c:lblOffset val="100"/>
        <c:noMultiLvlLbl val="0"/>
      </c:catAx>
      <c:valAx>
        <c:axId val="1796397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214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EBIT of Surjek Unit</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EBIT!$A$116:$B$116</c:f>
              <c:strCache>
                <c:ptCount val="2"/>
                <c:pt idx="0">
                  <c:v>EBIT ACTUALS</c:v>
                </c:pt>
                <c:pt idx="1">
                  <c:v>$</c:v>
                </c:pt>
              </c:strCache>
            </c:strRef>
          </c:tx>
          <c:spPr>
            <a:ln w="28575" cap="rnd">
              <a:solidFill>
                <a:schemeClr val="accent1"/>
              </a:solidFill>
              <a:round/>
            </a:ln>
            <a:effectLst/>
          </c:spPr>
          <c:marker>
            <c:symbol val="none"/>
          </c:marker>
          <c:cat>
            <c:strRef>
              <c:f>EBIT!$C$115:$N$115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EBIT!$C$116:$N$116</c:f>
              <c:numCache>
                <c:formatCode>"$"#,##0.00;[Red]\-"$"#,##0.00</c:formatCode>
                <c:ptCount val="12"/>
                <c:pt idx="0">
                  <c:v>7542994.7699999996</c:v>
                </c:pt>
                <c:pt idx="1">
                  <c:v>2007339.42</c:v>
                </c:pt>
                <c:pt idx="2">
                  <c:v>4357781.41</c:v>
                </c:pt>
                <c:pt idx="3">
                  <c:v>-1327482.6700000055</c:v>
                </c:pt>
                <c:pt idx="4">
                  <c:v>-4467368.6899999958</c:v>
                </c:pt>
                <c:pt idx="5">
                  <c:v>6734853.3199999984</c:v>
                </c:pt>
                <c:pt idx="6">
                  <c:v>15534470.68</c:v>
                </c:pt>
                <c:pt idx="7">
                  <c:v>11502060.09</c:v>
                </c:pt>
                <c:pt idx="8">
                  <c:v>11657393.350000001</c:v>
                </c:pt>
                <c:pt idx="9">
                  <c:v>7147213.4400000013</c:v>
                </c:pt>
                <c:pt idx="10">
                  <c:v>3584267.9000000004</c:v>
                </c:pt>
                <c:pt idx="11">
                  <c:v>11128380.07</c:v>
                </c:pt>
              </c:numCache>
            </c:numRef>
          </c:val>
          <c:smooth val="0"/>
          <c:extLst>
            <c:ext xmlns:c16="http://schemas.microsoft.com/office/drawing/2014/chart" uri="{C3380CC4-5D6E-409C-BE32-E72D297353CC}">
              <c16:uniqueId val="{00000000-E844-CE43-9355-1830DAC63BD5}"/>
            </c:ext>
          </c:extLst>
        </c:ser>
        <c:ser>
          <c:idx val="1"/>
          <c:order val="1"/>
          <c:tx>
            <c:strRef>
              <c:f>EBIT!$A$117:$B$117</c:f>
              <c:strCache>
                <c:ptCount val="2"/>
                <c:pt idx="0">
                  <c:v>EBIT BUDGET</c:v>
                </c:pt>
                <c:pt idx="1">
                  <c:v>$</c:v>
                </c:pt>
              </c:strCache>
            </c:strRef>
          </c:tx>
          <c:spPr>
            <a:ln w="28575" cap="rnd">
              <a:solidFill>
                <a:schemeClr val="accent2"/>
              </a:solidFill>
              <a:round/>
            </a:ln>
            <a:effectLst/>
          </c:spPr>
          <c:marker>
            <c:symbol val="none"/>
          </c:marker>
          <c:cat>
            <c:strRef>
              <c:f>EBIT!$C$115:$N$115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EBIT!$C$117:$N$117</c:f>
              <c:numCache>
                <c:formatCode>"$"#,##0.00;[Red]\-"$"#,##0.00</c:formatCode>
                <c:ptCount val="12"/>
                <c:pt idx="0">
                  <c:v>5734764.2700000014</c:v>
                </c:pt>
                <c:pt idx="1">
                  <c:v>3779140.0200000014</c:v>
                </c:pt>
                <c:pt idx="2">
                  <c:v>-613667.44999999925</c:v>
                </c:pt>
                <c:pt idx="3">
                  <c:v>-5747396.8399999999</c:v>
                </c:pt>
                <c:pt idx="4">
                  <c:v>-3523025.089999998</c:v>
                </c:pt>
                <c:pt idx="5">
                  <c:v>380758.06000000052</c:v>
                </c:pt>
                <c:pt idx="6">
                  <c:v>8082244.7800000031</c:v>
                </c:pt>
                <c:pt idx="7">
                  <c:v>7071588.6400000025</c:v>
                </c:pt>
                <c:pt idx="8">
                  <c:v>4321776.8199999984</c:v>
                </c:pt>
                <c:pt idx="9">
                  <c:v>8171766.6200000029</c:v>
                </c:pt>
                <c:pt idx="10">
                  <c:v>5828325.3200000003</c:v>
                </c:pt>
                <c:pt idx="11">
                  <c:v>6069939.7600000016</c:v>
                </c:pt>
              </c:numCache>
            </c:numRef>
          </c:val>
          <c:smooth val="0"/>
          <c:extLst>
            <c:ext xmlns:c16="http://schemas.microsoft.com/office/drawing/2014/chart" uri="{C3380CC4-5D6E-409C-BE32-E72D297353CC}">
              <c16:uniqueId val="{00000001-E844-CE43-9355-1830DAC63BD5}"/>
            </c:ext>
          </c:extLst>
        </c:ser>
        <c:dLbls>
          <c:showLegendKey val="0"/>
          <c:showVal val="0"/>
          <c:showCatName val="0"/>
          <c:showSerName val="0"/>
          <c:showPercent val="0"/>
          <c:showBubbleSize val="0"/>
        </c:dLbls>
        <c:smooth val="0"/>
        <c:axId val="1786004848"/>
        <c:axId val="1799929376"/>
      </c:lineChart>
      <c:catAx>
        <c:axId val="178600484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929376"/>
        <c:crosses val="autoZero"/>
        <c:auto val="1"/>
        <c:lblAlgn val="ctr"/>
        <c:lblOffset val="100"/>
        <c:noMultiLvlLbl val="0"/>
      </c:catAx>
      <c:valAx>
        <c:axId val="1799929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EBIT of Jutik Unit</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EBIT!$A$121:$B$121</c:f>
              <c:strCache>
                <c:ptCount val="2"/>
                <c:pt idx="0">
                  <c:v>EBIT ACTUALS</c:v>
                </c:pt>
                <c:pt idx="1">
                  <c:v>$</c:v>
                </c:pt>
              </c:strCache>
            </c:strRef>
          </c:tx>
          <c:spPr>
            <a:ln w="28575" cap="rnd">
              <a:solidFill>
                <a:schemeClr val="accent1"/>
              </a:solidFill>
              <a:round/>
            </a:ln>
            <a:effectLst/>
          </c:spPr>
          <c:marker>
            <c:symbol val="none"/>
          </c:marker>
          <c:cat>
            <c:strRef>
              <c:f>EBIT!$C$115:$N$115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EBIT!$C$121:$N$121</c:f>
              <c:numCache>
                <c:formatCode>"$"#,##0.00;[Red]\-"$"#,##0.00</c:formatCode>
                <c:ptCount val="12"/>
                <c:pt idx="0">
                  <c:v>9540867.7800000012</c:v>
                </c:pt>
                <c:pt idx="1">
                  <c:v>12148510.460000001</c:v>
                </c:pt>
                <c:pt idx="2">
                  <c:v>9292017.379999999</c:v>
                </c:pt>
                <c:pt idx="3">
                  <c:v>7961729.160000002</c:v>
                </c:pt>
                <c:pt idx="4">
                  <c:v>10048484.280000001</c:v>
                </c:pt>
                <c:pt idx="5">
                  <c:v>9229991.6099999994</c:v>
                </c:pt>
                <c:pt idx="6">
                  <c:v>14341629.849999998</c:v>
                </c:pt>
                <c:pt idx="7">
                  <c:v>14076053.039999999</c:v>
                </c:pt>
                <c:pt idx="8">
                  <c:v>13128407.379999999</c:v>
                </c:pt>
                <c:pt idx="9">
                  <c:v>15183280.52</c:v>
                </c:pt>
                <c:pt idx="10">
                  <c:v>14424786.729999999</c:v>
                </c:pt>
                <c:pt idx="11">
                  <c:v>13312411.609999999</c:v>
                </c:pt>
              </c:numCache>
            </c:numRef>
          </c:val>
          <c:smooth val="0"/>
          <c:extLst>
            <c:ext xmlns:c16="http://schemas.microsoft.com/office/drawing/2014/chart" uri="{C3380CC4-5D6E-409C-BE32-E72D297353CC}">
              <c16:uniqueId val="{00000000-BB5E-0A4F-9B33-34A81E889BFF}"/>
            </c:ext>
          </c:extLst>
        </c:ser>
        <c:ser>
          <c:idx val="1"/>
          <c:order val="1"/>
          <c:tx>
            <c:strRef>
              <c:f>EBIT!$A$122:$B$122</c:f>
              <c:strCache>
                <c:ptCount val="2"/>
                <c:pt idx="0">
                  <c:v>EBIT BUDGET</c:v>
                </c:pt>
                <c:pt idx="1">
                  <c:v>$</c:v>
                </c:pt>
              </c:strCache>
            </c:strRef>
          </c:tx>
          <c:spPr>
            <a:ln w="28575" cap="rnd">
              <a:solidFill>
                <a:schemeClr val="accent2"/>
              </a:solidFill>
              <a:round/>
            </a:ln>
            <a:effectLst/>
          </c:spPr>
          <c:marker>
            <c:symbol val="none"/>
          </c:marker>
          <c:cat>
            <c:strRef>
              <c:f>EBIT!$C$115:$N$115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EBIT!$C$122:$N$122</c:f>
              <c:numCache>
                <c:formatCode>"$"#,##0.00;[Red]\-"$"#,##0.00</c:formatCode>
                <c:ptCount val="12"/>
                <c:pt idx="0">
                  <c:v>12024448.18</c:v>
                </c:pt>
                <c:pt idx="1">
                  <c:v>12146256.5</c:v>
                </c:pt>
                <c:pt idx="2">
                  <c:v>13925476.59</c:v>
                </c:pt>
                <c:pt idx="3">
                  <c:v>13260581.240000002</c:v>
                </c:pt>
                <c:pt idx="4">
                  <c:v>11735911.339999996</c:v>
                </c:pt>
                <c:pt idx="5">
                  <c:v>16373562.779999997</c:v>
                </c:pt>
                <c:pt idx="6">
                  <c:v>16635376.279999997</c:v>
                </c:pt>
                <c:pt idx="7">
                  <c:v>16475142.059999999</c:v>
                </c:pt>
                <c:pt idx="8">
                  <c:v>17799998.09</c:v>
                </c:pt>
                <c:pt idx="9">
                  <c:v>12419480.460000001</c:v>
                </c:pt>
                <c:pt idx="10">
                  <c:v>13873448.699999997</c:v>
                </c:pt>
                <c:pt idx="11">
                  <c:v>14546133.079999998</c:v>
                </c:pt>
              </c:numCache>
            </c:numRef>
          </c:val>
          <c:smooth val="0"/>
          <c:extLst>
            <c:ext xmlns:c16="http://schemas.microsoft.com/office/drawing/2014/chart" uri="{C3380CC4-5D6E-409C-BE32-E72D297353CC}">
              <c16:uniqueId val="{00000001-BB5E-0A4F-9B33-34A81E889BFF}"/>
            </c:ext>
          </c:extLst>
        </c:ser>
        <c:dLbls>
          <c:showLegendKey val="0"/>
          <c:showVal val="0"/>
          <c:showCatName val="0"/>
          <c:showSerName val="0"/>
          <c:showPercent val="0"/>
          <c:showBubbleSize val="0"/>
        </c:dLbls>
        <c:smooth val="0"/>
        <c:axId val="1786004848"/>
        <c:axId val="1799929376"/>
      </c:lineChart>
      <c:catAx>
        <c:axId val="178600484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929376"/>
        <c:crosses val="autoZero"/>
        <c:auto val="1"/>
        <c:lblAlgn val="ctr"/>
        <c:lblOffset val="100"/>
        <c:noMultiLvlLbl val="0"/>
      </c:catAx>
      <c:valAx>
        <c:axId val="1799929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EBIT of Overall Units</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EBIT!$A$126:$B$126</c:f>
              <c:strCache>
                <c:ptCount val="2"/>
                <c:pt idx="0">
                  <c:v>EBIT ACTUALS</c:v>
                </c:pt>
                <c:pt idx="1">
                  <c:v>$</c:v>
                </c:pt>
              </c:strCache>
            </c:strRef>
          </c:tx>
          <c:spPr>
            <a:ln w="28575" cap="rnd">
              <a:solidFill>
                <a:schemeClr val="accent1"/>
              </a:solidFill>
              <a:round/>
            </a:ln>
            <a:effectLst/>
          </c:spPr>
          <c:marker>
            <c:symbol val="none"/>
          </c:marker>
          <c:cat>
            <c:strRef>
              <c:f>EBIT!$C$115:$N$115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EBIT!$C$126:$N$126</c:f>
              <c:numCache>
                <c:formatCode>"$"#,##0.00;[Red]\-"$"#,##0.00</c:formatCode>
                <c:ptCount val="12"/>
                <c:pt idx="0">
                  <c:v>22134307.15000001</c:v>
                </c:pt>
                <c:pt idx="1">
                  <c:v>17614229.320000004</c:v>
                </c:pt>
                <c:pt idx="2">
                  <c:v>17489481.050000008</c:v>
                </c:pt>
                <c:pt idx="3">
                  <c:v>10611071.789999999</c:v>
                </c:pt>
                <c:pt idx="4">
                  <c:v>9874501.5300000049</c:v>
                </c:pt>
                <c:pt idx="5">
                  <c:v>20198914.179999992</c:v>
                </c:pt>
                <c:pt idx="6">
                  <c:v>36717607.019999996</c:v>
                </c:pt>
                <c:pt idx="7">
                  <c:v>31809956.949999996</c:v>
                </c:pt>
                <c:pt idx="8">
                  <c:v>31579954</c:v>
                </c:pt>
                <c:pt idx="9">
                  <c:v>26308905.32</c:v>
                </c:pt>
                <c:pt idx="10">
                  <c:v>21843372.059999999</c:v>
                </c:pt>
                <c:pt idx="11">
                  <c:v>27436489.189999998</c:v>
                </c:pt>
              </c:numCache>
            </c:numRef>
          </c:val>
          <c:smooth val="0"/>
          <c:extLst>
            <c:ext xmlns:c16="http://schemas.microsoft.com/office/drawing/2014/chart" uri="{C3380CC4-5D6E-409C-BE32-E72D297353CC}">
              <c16:uniqueId val="{00000000-3C23-FD4E-A860-BB46798A71F3}"/>
            </c:ext>
          </c:extLst>
        </c:ser>
        <c:ser>
          <c:idx val="1"/>
          <c:order val="1"/>
          <c:tx>
            <c:strRef>
              <c:f>EBIT!$A$127:$B$127</c:f>
              <c:strCache>
                <c:ptCount val="2"/>
                <c:pt idx="0">
                  <c:v>EBIT BUDGET</c:v>
                </c:pt>
                <c:pt idx="1">
                  <c:v>$</c:v>
                </c:pt>
              </c:strCache>
            </c:strRef>
          </c:tx>
          <c:spPr>
            <a:ln w="28575" cap="rnd">
              <a:solidFill>
                <a:schemeClr val="accent2"/>
              </a:solidFill>
              <a:round/>
            </a:ln>
            <a:effectLst/>
          </c:spPr>
          <c:marker>
            <c:symbol val="none"/>
          </c:marker>
          <c:cat>
            <c:strRef>
              <c:f>EBIT!$C$115:$N$115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EBIT!$C$127:$N$127</c:f>
              <c:numCache>
                <c:formatCode>"$"#,##0.00;[Red]\-"$"#,##0.00</c:formatCode>
                <c:ptCount val="12"/>
                <c:pt idx="0">
                  <c:v>23041641.440000001</c:v>
                </c:pt>
                <c:pt idx="1">
                  <c:v>18939711.360000003</c:v>
                </c:pt>
                <c:pt idx="2">
                  <c:v>14249091.850000001</c:v>
                </c:pt>
                <c:pt idx="3">
                  <c:v>8208883.3500000015</c:v>
                </c:pt>
                <c:pt idx="4">
                  <c:v>12013231.099999998</c:v>
                </c:pt>
                <c:pt idx="5">
                  <c:v>21399402.720000003</c:v>
                </c:pt>
                <c:pt idx="6">
                  <c:v>31750634.350000001</c:v>
                </c:pt>
                <c:pt idx="7">
                  <c:v>29729505.75</c:v>
                </c:pt>
                <c:pt idx="8">
                  <c:v>29080374.710000001</c:v>
                </c:pt>
                <c:pt idx="9">
                  <c:v>25142556.789999999</c:v>
                </c:pt>
                <c:pt idx="10">
                  <c:v>23750044.179999996</c:v>
                </c:pt>
                <c:pt idx="11">
                  <c:v>24690189.34</c:v>
                </c:pt>
              </c:numCache>
            </c:numRef>
          </c:val>
          <c:smooth val="0"/>
          <c:extLst>
            <c:ext xmlns:c16="http://schemas.microsoft.com/office/drawing/2014/chart" uri="{C3380CC4-5D6E-409C-BE32-E72D297353CC}">
              <c16:uniqueId val="{00000001-3C23-FD4E-A860-BB46798A71F3}"/>
            </c:ext>
          </c:extLst>
        </c:ser>
        <c:dLbls>
          <c:showLegendKey val="0"/>
          <c:showVal val="0"/>
          <c:showCatName val="0"/>
          <c:showSerName val="0"/>
          <c:showPercent val="0"/>
          <c:showBubbleSize val="0"/>
        </c:dLbls>
        <c:smooth val="0"/>
        <c:axId val="1786004848"/>
        <c:axId val="1799929376"/>
      </c:lineChart>
      <c:catAx>
        <c:axId val="178600484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929376"/>
        <c:crosses val="autoZero"/>
        <c:auto val="1"/>
        <c:lblAlgn val="ctr"/>
        <c:lblOffset val="100"/>
        <c:noMultiLvlLbl val="0"/>
      </c:catAx>
      <c:valAx>
        <c:axId val="1799929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16</xdr:col>
      <xdr:colOff>408305</xdr:colOff>
      <xdr:row>49</xdr:row>
      <xdr:rowOff>15179</xdr:rowOff>
    </xdr:to>
    <xdr:pic>
      <xdr:nvPicPr>
        <xdr:cNvPr id="2" name="Picture 1">
          <a:extLst>
            <a:ext uri="{FF2B5EF4-FFF2-40B4-BE49-F238E27FC236}">
              <a16:creationId xmlns:a16="http://schemas.microsoft.com/office/drawing/2014/main" id="{52B0EBD5-F3FD-464C-9067-9EF197B4AC94}"/>
            </a:ext>
          </a:extLst>
        </xdr:cNvPr>
        <xdr:cNvPicPr>
          <a:picLocks noChangeAspect="1"/>
        </xdr:cNvPicPr>
      </xdr:nvPicPr>
      <xdr:blipFill>
        <a:blip xmlns:r="http://schemas.openxmlformats.org/officeDocument/2006/relationships" r:embed="rId1"/>
        <a:stretch>
          <a:fillRect/>
        </a:stretch>
      </xdr:blipFill>
      <xdr:spPr>
        <a:xfrm>
          <a:off x="0" y="3403600"/>
          <a:ext cx="10161905" cy="5571429"/>
        </a:xfrm>
        <a:prstGeom prst="rect">
          <a:avLst/>
        </a:prstGeom>
      </xdr:spPr>
    </xdr:pic>
    <xdr:clientData/>
  </xdr:twoCellAnchor>
  <xdr:twoCellAnchor editAs="oneCell">
    <xdr:from>
      <xdr:col>17</xdr:col>
      <xdr:colOff>0</xdr:colOff>
      <xdr:row>14</xdr:row>
      <xdr:rowOff>0</xdr:rowOff>
    </xdr:from>
    <xdr:to>
      <xdr:col>33</xdr:col>
      <xdr:colOff>360686</xdr:colOff>
      <xdr:row>48</xdr:row>
      <xdr:rowOff>81838</xdr:rowOff>
    </xdr:to>
    <xdr:pic>
      <xdr:nvPicPr>
        <xdr:cNvPr id="3" name="Picture 2">
          <a:extLst>
            <a:ext uri="{FF2B5EF4-FFF2-40B4-BE49-F238E27FC236}">
              <a16:creationId xmlns:a16="http://schemas.microsoft.com/office/drawing/2014/main" id="{EB873001-C3F3-44A4-9F0C-A25A8F44A1E3}"/>
            </a:ext>
          </a:extLst>
        </xdr:cNvPr>
        <xdr:cNvPicPr>
          <a:picLocks noChangeAspect="1"/>
        </xdr:cNvPicPr>
      </xdr:nvPicPr>
      <xdr:blipFill>
        <a:blip xmlns:r="http://schemas.openxmlformats.org/officeDocument/2006/relationships" r:embed="rId2"/>
        <a:stretch>
          <a:fillRect/>
        </a:stretch>
      </xdr:blipFill>
      <xdr:spPr>
        <a:xfrm>
          <a:off x="10363200" y="3479800"/>
          <a:ext cx="10114286" cy="56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58209</xdr:colOff>
      <xdr:row>124</xdr:row>
      <xdr:rowOff>94190</xdr:rowOff>
    </xdr:from>
    <xdr:to>
      <xdr:col>6</xdr:col>
      <xdr:colOff>1608667</xdr:colOff>
      <xdr:row>148</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401637</xdr:colOff>
      <xdr:row>75</xdr:row>
      <xdr:rowOff>84137</xdr:rowOff>
    </xdr:from>
    <xdr:ext cx="10636780" cy="497469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twoCellAnchor>
    <xdr:from>
      <xdr:col>0</xdr:col>
      <xdr:colOff>628650</xdr:colOff>
      <xdr:row>6</xdr:row>
      <xdr:rowOff>44450</xdr:rowOff>
    </xdr:from>
    <xdr:to>
      <xdr:col>6</xdr:col>
      <xdr:colOff>247650</xdr:colOff>
      <xdr:row>20</xdr:row>
      <xdr:rowOff>120650</xdr:rowOff>
    </xdr:to>
    <xdr:graphicFrame macro="">
      <xdr:nvGraphicFramePr>
        <xdr:cNvPr id="2" name="Chart 1">
          <a:extLst>
            <a:ext uri="{FF2B5EF4-FFF2-40B4-BE49-F238E27FC236}">
              <a16:creationId xmlns:a16="http://schemas.microsoft.com/office/drawing/2014/main" id="{895425BF-0374-CD40-95F4-85616AAC8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29</xdr:row>
      <xdr:rowOff>0</xdr:rowOff>
    </xdr:from>
    <xdr:to>
      <xdr:col>6</xdr:col>
      <xdr:colOff>444500</xdr:colOff>
      <xdr:row>43</xdr:row>
      <xdr:rowOff>76200</xdr:rowOff>
    </xdr:to>
    <xdr:graphicFrame macro="">
      <xdr:nvGraphicFramePr>
        <xdr:cNvPr id="3" name="Chart 2">
          <a:extLst>
            <a:ext uri="{FF2B5EF4-FFF2-40B4-BE49-F238E27FC236}">
              <a16:creationId xmlns:a16="http://schemas.microsoft.com/office/drawing/2014/main" id="{86CD19BD-469E-DC41-92B4-AD2F894BC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51</xdr:row>
      <xdr:rowOff>0</xdr:rowOff>
    </xdr:from>
    <xdr:to>
      <xdr:col>6</xdr:col>
      <xdr:colOff>444500</xdr:colOff>
      <xdr:row>65</xdr:row>
      <xdr:rowOff>76200</xdr:rowOff>
    </xdr:to>
    <xdr:graphicFrame macro="">
      <xdr:nvGraphicFramePr>
        <xdr:cNvPr id="4" name="Chart 3">
          <a:extLst>
            <a:ext uri="{FF2B5EF4-FFF2-40B4-BE49-F238E27FC236}">
              <a16:creationId xmlns:a16="http://schemas.microsoft.com/office/drawing/2014/main" id="{3B677C6A-B469-924D-8FDE-EB19318DBB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75</xdr:row>
      <xdr:rowOff>0</xdr:rowOff>
    </xdr:from>
    <xdr:to>
      <xdr:col>6</xdr:col>
      <xdr:colOff>444500</xdr:colOff>
      <xdr:row>89</xdr:row>
      <xdr:rowOff>76200</xdr:rowOff>
    </xdr:to>
    <xdr:graphicFrame macro="">
      <xdr:nvGraphicFramePr>
        <xdr:cNvPr id="5" name="Chart 4">
          <a:extLst>
            <a:ext uri="{FF2B5EF4-FFF2-40B4-BE49-F238E27FC236}">
              <a16:creationId xmlns:a16="http://schemas.microsoft.com/office/drawing/2014/main" id="{0C7C26F9-0B3C-3247-B295-69DCA89E61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1403350</xdr:colOff>
      <xdr:row>66</xdr:row>
      <xdr:rowOff>95250</xdr:rowOff>
    </xdr:from>
    <xdr:to>
      <xdr:col>4</xdr:col>
      <xdr:colOff>1028700</xdr:colOff>
      <xdr:row>83</xdr:row>
      <xdr:rowOff>101600</xdr:rowOff>
    </xdr:to>
    <xdr:graphicFrame macro="">
      <xdr:nvGraphicFramePr>
        <xdr:cNvPr id="10" name="Chart 9">
          <a:extLst>
            <a:ext uri="{FF2B5EF4-FFF2-40B4-BE49-F238E27FC236}">
              <a16:creationId xmlns:a16="http://schemas.microsoft.com/office/drawing/2014/main" id="{528BD09F-C634-7643-8729-0F26E8450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323850</xdr:colOff>
      <xdr:row>67</xdr:row>
      <xdr:rowOff>31750</xdr:rowOff>
    </xdr:from>
    <xdr:to>
      <xdr:col>10</xdr:col>
      <xdr:colOff>825500</xdr:colOff>
      <xdr:row>83</xdr:row>
      <xdr:rowOff>152400</xdr:rowOff>
    </xdr:to>
    <xdr:graphicFrame macro="">
      <xdr:nvGraphicFramePr>
        <xdr:cNvPr id="12" name="Chart 11">
          <a:extLst>
            <a:ext uri="{FF2B5EF4-FFF2-40B4-BE49-F238E27FC236}">
              <a16:creationId xmlns:a16="http://schemas.microsoft.com/office/drawing/2014/main" id="{DAB06F30-0997-2945-A496-513C82F88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1435100</xdr:colOff>
      <xdr:row>85</xdr:row>
      <xdr:rowOff>101600</xdr:rowOff>
    </xdr:from>
    <xdr:to>
      <xdr:col>4</xdr:col>
      <xdr:colOff>838200</xdr:colOff>
      <xdr:row>103</xdr:row>
      <xdr:rowOff>25400</xdr:rowOff>
    </xdr:to>
    <xdr:graphicFrame macro="">
      <xdr:nvGraphicFramePr>
        <xdr:cNvPr id="13" name="Chart 12">
          <a:extLst>
            <a:ext uri="{FF2B5EF4-FFF2-40B4-BE49-F238E27FC236}">
              <a16:creationId xmlns:a16="http://schemas.microsoft.com/office/drawing/2014/main" id="{B1323B54-86E4-3242-9F8C-CEFE476A6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317500</xdr:colOff>
      <xdr:row>86</xdr:row>
      <xdr:rowOff>127000</xdr:rowOff>
    </xdr:from>
    <xdr:to>
      <xdr:col>10</xdr:col>
      <xdr:colOff>1079500</xdr:colOff>
      <xdr:row>103</xdr:row>
      <xdr:rowOff>114300</xdr:rowOff>
    </xdr:to>
    <xdr:graphicFrame macro="">
      <xdr:nvGraphicFramePr>
        <xdr:cNvPr id="15" name="Chart 14">
          <a:extLst>
            <a:ext uri="{FF2B5EF4-FFF2-40B4-BE49-F238E27FC236}">
              <a16:creationId xmlns:a16="http://schemas.microsoft.com/office/drawing/2014/main" id="{4572BED8-86F6-994F-929E-ADFA55BB7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rgb="FFFF0000"/>
  </sheetPr>
  <dimension ref="A1:AE64"/>
  <sheetViews>
    <sheetView showGridLines="0" topLeftCell="A10" zoomScale="112" zoomScaleNormal="100" workbookViewId="0">
      <selection activeCell="A9" sqref="A9:AE9"/>
    </sheetView>
  </sheetViews>
  <sheetFormatPr defaultColWidth="8.7109375" defaultRowHeight="12.95"/>
  <cols>
    <col min="1" max="1" width="8.7109375" style="68" customWidth="1"/>
    <col min="2" max="16384" width="8.7109375" style="68"/>
  </cols>
  <sheetData>
    <row r="1" spans="1:31">
      <c r="A1" s="69" t="s">
        <v>0</v>
      </c>
    </row>
    <row r="3" spans="1:31">
      <c r="A3" s="68" t="s">
        <v>1</v>
      </c>
    </row>
    <row r="4" spans="1:31" ht="25.5" customHeight="1">
      <c r="A4" s="68" t="s">
        <v>2</v>
      </c>
    </row>
    <row r="5" spans="1:31" ht="25.5" customHeight="1">
      <c r="A5" s="68" t="s">
        <v>3</v>
      </c>
    </row>
    <row r="6" spans="1:31" ht="25.5" customHeight="1">
      <c r="A6" s="69" t="s">
        <v>4</v>
      </c>
    </row>
    <row r="7" spans="1:31" ht="12.6" customHeight="1">
      <c r="A7" s="69"/>
    </row>
    <row r="8" spans="1:31" s="72" customFormat="1" ht="25.5" customHeight="1">
      <c r="A8" s="71" t="s">
        <v>5</v>
      </c>
    </row>
    <row r="9" spans="1:31" s="73" customFormat="1" ht="64.5" customHeight="1">
      <c r="A9" s="265" t="s">
        <v>6</v>
      </c>
      <c r="B9" s="266"/>
      <c r="C9" s="266"/>
      <c r="D9" s="266"/>
      <c r="E9" s="266"/>
      <c r="F9" s="266"/>
      <c r="G9" s="266"/>
      <c r="H9" s="266"/>
      <c r="I9" s="266"/>
      <c r="J9" s="266"/>
      <c r="K9" s="266"/>
      <c r="L9" s="266"/>
      <c r="M9" s="266"/>
      <c r="N9" s="266"/>
      <c r="O9" s="266"/>
      <c r="P9" s="266"/>
      <c r="Q9" s="266"/>
      <c r="R9" s="266"/>
      <c r="S9" s="266"/>
      <c r="T9" s="266"/>
      <c r="U9" s="266"/>
      <c r="V9" s="266"/>
      <c r="W9" s="266"/>
      <c r="X9" s="266"/>
      <c r="Y9" s="266"/>
      <c r="Z9" s="266"/>
      <c r="AA9" s="266"/>
      <c r="AB9" s="266"/>
      <c r="AC9" s="266"/>
      <c r="AD9" s="266"/>
      <c r="AE9" s="266"/>
    </row>
    <row r="10" spans="1:31" s="72" customFormat="1" ht="32.1" customHeight="1">
      <c r="A10" s="72" t="s">
        <v>7</v>
      </c>
    </row>
    <row r="12" spans="1:31" s="71" customFormat="1">
      <c r="A12" s="71" t="s">
        <v>8</v>
      </c>
    </row>
    <row r="13" spans="1:31">
      <c r="A13" s="69" t="s">
        <v>9</v>
      </c>
    </row>
    <row r="14" spans="1:31">
      <c r="A14" s="69" t="s">
        <v>10</v>
      </c>
    </row>
    <row r="52" spans="1:1" s="72" customFormat="1">
      <c r="A52" s="71" t="s">
        <v>11</v>
      </c>
    </row>
    <row r="53" spans="1:1">
      <c r="A53" s="68" t="s">
        <v>12</v>
      </c>
    </row>
    <row r="54" spans="1:1">
      <c r="A54" s="68" t="s">
        <v>13</v>
      </c>
    </row>
    <row r="56" spans="1:1" s="72" customFormat="1">
      <c r="A56" s="71" t="s">
        <v>14</v>
      </c>
    </row>
    <row r="57" spans="1:1">
      <c r="A57" s="68" t="s">
        <v>15</v>
      </c>
    </row>
    <row r="58" spans="1:1">
      <c r="A58" s="68" t="s">
        <v>16</v>
      </c>
    </row>
    <row r="60" spans="1:1" s="72" customFormat="1">
      <c r="A60" s="72" t="s">
        <v>17</v>
      </c>
    </row>
    <row r="61" spans="1:1" s="177" customFormat="1">
      <c r="A61" s="203" t="s">
        <v>18</v>
      </c>
    </row>
    <row r="62" spans="1:1" s="177" customFormat="1">
      <c r="A62" s="178" t="s">
        <v>19</v>
      </c>
    </row>
    <row r="63" spans="1:1" s="177" customFormat="1">
      <c r="A63" s="178" t="s">
        <v>20</v>
      </c>
    </row>
    <row r="64" spans="1:1" s="177" customFormat="1">
      <c r="A64" s="178" t="s">
        <v>21</v>
      </c>
    </row>
  </sheetData>
  <mergeCells count="1">
    <mergeCell ref="A9:AE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1000"/>
  <sheetViews>
    <sheetView showGridLines="0" zoomScale="120" zoomScaleNormal="120" workbookViewId="0">
      <selection activeCell="B4" sqref="B4"/>
    </sheetView>
  </sheetViews>
  <sheetFormatPr defaultColWidth="14.42578125" defaultRowHeight="15" customHeight="1"/>
  <cols>
    <col min="1" max="1" width="60.28515625" style="108" customWidth="1"/>
    <col min="2" max="26" width="8.7109375" style="108" customWidth="1"/>
    <col min="27" max="16384" width="14.42578125" style="108"/>
  </cols>
  <sheetData>
    <row r="1" spans="1:26" s="118" customFormat="1" ht="41.45" customHeight="1">
      <c r="A1" s="91" t="s">
        <v>22</v>
      </c>
      <c r="B1" s="89"/>
      <c r="C1" s="89"/>
      <c r="D1" s="89"/>
      <c r="E1" s="89"/>
      <c r="F1" s="89"/>
      <c r="G1" s="89"/>
      <c r="H1" s="89"/>
      <c r="I1" s="89"/>
      <c r="J1" s="89"/>
      <c r="K1" s="89"/>
      <c r="L1" s="89"/>
      <c r="M1" s="89"/>
      <c r="N1" s="89"/>
      <c r="O1" s="89"/>
      <c r="P1" s="89"/>
      <c r="Q1" s="89"/>
      <c r="R1" s="89"/>
      <c r="S1" s="89"/>
      <c r="T1" s="89"/>
      <c r="U1" s="89"/>
      <c r="V1" s="89"/>
      <c r="W1" s="89"/>
      <c r="X1" s="89"/>
      <c r="Y1" s="89"/>
      <c r="Z1" s="89"/>
    </row>
    <row r="2" spans="1:26" s="118" customFormat="1" ht="17.25" customHeight="1">
      <c r="A2" s="91" t="s">
        <v>23</v>
      </c>
      <c r="B2" s="89"/>
      <c r="C2" s="89"/>
      <c r="D2" s="89"/>
      <c r="E2" s="89"/>
      <c r="F2" s="89"/>
      <c r="G2" s="89"/>
      <c r="H2" s="89"/>
      <c r="I2" s="89"/>
      <c r="J2" s="89"/>
      <c r="K2" s="89"/>
      <c r="L2" s="89"/>
      <c r="M2" s="89"/>
      <c r="N2" s="89"/>
      <c r="O2" s="89"/>
      <c r="P2" s="89"/>
      <c r="Q2" s="89"/>
      <c r="R2" s="89"/>
      <c r="S2" s="89"/>
      <c r="T2" s="89"/>
      <c r="U2" s="89"/>
      <c r="V2" s="89"/>
      <c r="W2" s="89"/>
      <c r="X2" s="89"/>
      <c r="Y2" s="89"/>
      <c r="Z2" s="89"/>
    </row>
    <row r="3" spans="1:26" s="118" customFormat="1" ht="17.25" customHeight="1">
      <c r="A3" s="91" t="s">
        <v>24</v>
      </c>
      <c r="B3" s="89" t="s">
        <v>25</v>
      </c>
      <c r="C3" s="89"/>
      <c r="D3" s="89"/>
      <c r="E3" s="89"/>
      <c r="F3" s="89"/>
      <c r="G3" s="89"/>
      <c r="H3" s="89"/>
      <c r="I3" s="89"/>
      <c r="J3" s="89"/>
      <c r="K3" s="89"/>
      <c r="L3" s="89"/>
      <c r="M3" s="89"/>
      <c r="N3" s="89"/>
      <c r="O3" s="89"/>
      <c r="P3" s="89"/>
      <c r="Q3" s="89"/>
      <c r="R3" s="89"/>
      <c r="S3" s="89"/>
      <c r="T3" s="89"/>
      <c r="U3" s="89"/>
      <c r="V3" s="89"/>
      <c r="W3" s="89"/>
      <c r="X3" s="89"/>
      <c r="Y3" s="89"/>
      <c r="Z3" s="89"/>
    </row>
    <row r="4" spans="1:26" s="118" customFormat="1" ht="17.25" customHeight="1">
      <c r="A4" s="91" t="s">
        <v>26</v>
      </c>
      <c r="B4" s="89" t="s">
        <v>27</v>
      </c>
      <c r="C4" s="89"/>
      <c r="D4" s="89"/>
      <c r="E4" s="89"/>
      <c r="F4" s="89"/>
      <c r="G4" s="89"/>
      <c r="H4" s="89"/>
      <c r="I4" s="89"/>
      <c r="J4" s="89"/>
      <c r="K4" s="89"/>
      <c r="L4" s="89"/>
      <c r="M4" s="89"/>
      <c r="N4" s="89"/>
      <c r="O4" s="89"/>
      <c r="P4" s="89"/>
      <c r="Q4" s="89"/>
      <c r="R4" s="89"/>
      <c r="S4" s="89"/>
      <c r="T4" s="89"/>
      <c r="U4" s="89"/>
      <c r="V4" s="89"/>
      <c r="W4" s="89"/>
      <c r="X4" s="89"/>
      <c r="Y4" s="89"/>
      <c r="Z4" s="89"/>
    </row>
    <row r="5" spans="1:26" s="118" customFormat="1" ht="17.25" customHeight="1">
      <c r="A5" s="91" t="s">
        <v>28</v>
      </c>
      <c r="B5" s="89" t="s">
        <v>29</v>
      </c>
      <c r="C5" s="89"/>
      <c r="D5" s="89"/>
      <c r="E5" s="89"/>
      <c r="F5" s="89"/>
      <c r="G5" s="89"/>
      <c r="H5" s="89"/>
      <c r="I5" s="89"/>
      <c r="J5" s="89"/>
      <c r="K5" s="89"/>
      <c r="L5" s="89"/>
      <c r="M5" s="89"/>
      <c r="N5" s="89"/>
      <c r="O5" s="89"/>
      <c r="P5" s="89"/>
      <c r="Q5" s="89"/>
      <c r="R5" s="89"/>
      <c r="S5" s="89"/>
      <c r="T5" s="89"/>
      <c r="U5" s="89"/>
      <c r="V5" s="89"/>
      <c r="W5" s="89"/>
      <c r="X5" s="89"/>
      <c r="Y5" s="89"/>
      <c r="Z5" s="89"/>
    </row>
    <row r="6" spans="1:26" s="118" customFormat="1" ht="17.25" customHeight="1">
      <c r="A6" s="91" t="s">
        <v>30</v>
      </c>
      <c r="B6" s="89" t="s">
        <v>31</v>
      </c>
      <c r="C6" s="89"/>
      <c r="D6" s="89"/>
      <c r="E6" s="89"/>
      <c r="F6" s="89"/>
      <c r="G6" s="89"/>
      <c r="H6" s="89"/>
      <c r="I6" s="89"/>
      <c r="J6" s="89"/>
      <c r="K6" s="89"/>
      <c r="L6" s="89"/>
      <c r="M6" s="89"/>
      <c r="N6" s="89"/>
      <c r="O6" s="89"/>
      <c r="P6" s="89"/>
      <c r="Q6" s="89"/>
      <c r="R6" s="89"/>
      <c r="S6" s="89"/>
      <c r="T6" s="89"/>
      <c r="U6" s="89"/>
      <c r="V6" s="89"/>
      <c r="W6" s="89"/>
      <c r="X6" s="89"/>
      <c r="Y6" s="89"/>
      <c r="Z6" s="89"/>
    </row>
    <row r="7" spans="1:26" s="118" customFormat="1" ht="17.25" customHeight="1">
      <c r="A7" s="91" t="s">
        <v>32</v>
      </c>
      <c r="B7" s="89" t="s">
        <v>33</v>
      </c>
      <c r="C7" s="89"/>
      <c r="D7" s="89"/>
      <c r="E7" s="89"/>
      <c r="F7" s="89"/>
      <c r="G7" s="89"/>
      <c r="H7" s="89"/>
      <c r="I7" s="89"/>
      <c r="J7" s="89"/>
      <c r="K7" s="89"/>
      <c r="L7" s="89"/>
      <c r="M7" s="89"/>
      <c r="N7" s="89"/>
      <c r="O7" s="89"/>
      <c r="P7" s="89"/>
      <c r="Q7" s="89"/>
      <c r="R7" s="89"/>
      <c r="S7" s="89"/>
      <c r="T7" s="89"/>
      <c r="U7" s="89"/>
      <c r="V7" s="89"/>
      <c r="W7" s="89"/>
      <c r="X7" s="89"/>
      <c r="Y7" s="89"/>
      <c r="Z7" s="89"/>
    </row>
    <row r="8" spans="1:26" s="118" customFormat="1" ht="17.25" customHeight="1">
      <c r="A8" s="91" t="s">
        <v>34</v>
      </c>
      <c r="B8" s="89" t="s">
        <v>35</v>
      </c>
      <c r="C8" s="89"/>
      <c r="D8" s="89"/>
      <c r="E8" s="89"/>
      <c r="F8" s="89"/>
      <c r="G8" s="89"/>
      <c r="H8" s="89"/>
      <c r="I8" s="89"/>
      <c r="J8" s="89"/>
      <c r="K8" s="89"/>
      <c r="L8" s="89"/>
      <c r="M8" s="89"/>
      <c r="N8" s="89"/>
      <c r="O8" s="89"/>
      <c r="P8" s="89"/>
      <c r="Q8" s="89"/>
      <c r="R8" s="89"/>
      <c r="S8" s="89"/>
      <c r="T8" s="89"/>
      <c r="U8" s="89"/>
      <c r="V8" s="89"/>
      <c r="W8" s="89"/>
      <c r="X8" s="89"/>
      <c r="Y8" s="89"/>
      <c r="Z8" s="89"/>
    </row>
    <row r="9" spans="1:26" ht="17.25" customHeight="1">
      <c r="A9" s="178"/>
      <c r="B9" s="178"/>
      <c r="C9" s="178"/>
      <c r="D9" s="178"/>
      <c r="E9" s="178"/>
      <c r="F9" s="178"/>
      <c r="G9" s="178"/>
      <c r="H9" s="178"/>
      <c r="I9" s="178"/>
      <c r="J9" s="178"/>
      <c r="K9" s="178"/>
      <c r="L9" s="178"/>
      <c r="M9" s="178"/>
      <c r="N9" s="178"/>
      <c r="O9" s="178"/>
      <c r="P9" s="178"/>
      <c r="Q9" s="178"/>
      <c r="R9" s="178"/>
      <c r="S9" s="178"/>
      <c r="T9" s="178"/>
      <c r="U9" s="178"/>
      <c r="V9" s="178"/>
      <c r="W9" s="178"/>
      <c r="X9" s="178"/>
      <c r="Y9" s="178"/>
      <c r="Z9" s="178"/>
    </row>
    <row r="10" spans="1:26" ht="17.25" customHeight="1">
      <c r="B10" s="178"/>
      <c r="C10" s="178"/>
      <c r="D10" s="178"/>
      <c r="E10" s="178"/>
      <c r="F10" s="178"/>
      <c r="G10" s="178"/>
      <c r="H10" s="178"/>
      <c r="I10" s="178"/>
      <c r="J10" s="178"/>
      <c r="K10" s="178"/>
      <c r="L10" s="178"/>
      <c r="M10" s="178"/>
      <c r="N10" s="178"/>
      <c r="O10" s="178"/>
      <c r="P10" s="178"/>
      <c r="Q10" s="178"/>
      <c r="R10" s="178"/>
      <c r="S10" s="178"/>
      <c r="T10" s="178"/>
      <c r="U10" s="178"/>
      <c r="V10" s="178"/>
      <c r="W10" s="178"/>
      <c r="X10" s="178"/>
      <c r="Y10" s="178"/>
      <c r="Z10" s="178"/>
    </row>
    <row r="11" spans="1:26" ht="17.25" customHeight="1">
      <c r="B11" s="178"/>
      <c r="C11" s="178"/>
      <c r="D11" s="178"/>
      <c r="E11" s="178"/>
      <c r="F11" s="178"/>
      <c r="G11" s="178"/>
      <c r="H11" s="178"/>
      <c r="I11" s="178"/>
      <c r="J11" s="178"/>
      <c r="K11" s="178"/>
      <c r="L11" s="178"/>
      <c r="M11" s="178"/>
      <c r="N11" s="178"/>
      <c r="O11" s="178"/>
      <c r="P11" s="178"/>
      <c r="Q11" s="178"/>
      <c r="R11" s="178"/>
      <c r="S11" s="178"/>
      <c r="T11" s="178"/>
      <c r="U11" s="178"/>
      <c r="V11" s="178"/>
      <c r="W11" s="178"/>
      <c r="X11" s="178"/>
      <c r="Y11" s="178"/>
      <c r="Z11" s="178"/>
    </row>
    <row r="12" spans="1:26" ht="17.25" customHeight="1">
      <c r="B12" s="178"/>
      <c r="C12" s="178"/>
      <c r="D12" s="178"/>
      <c r="E12" s="178"/>
      <c r="F12" s="178"/>
      <c r="G12" s="178"/>
      <c r="H12" s="178"/>
      <c r="I12" s="178"/>
      <c r="J12" s="178"/>
      <c r="K12" s="178"/>
      <c r="L12" s="178"/>
      <c r="M12" s="178"/>
      <c r="N12" s="178"/>
      <c r="O12" s="178"/>
      <c r="P12" s="178"/>
      <c r="Q12" s="178"/>
      <c r="R12" s="178"/>
      <c r="S12" s="178"/>
      <c r="T12" s="178"/>
      <c r="U12" s="178"/>
      <c r="V12" s="178"/>
      <c r="W12" s="178"/>
      <c r="X12" s="178"/>
      <c r="Y12" s="178"/>
      <c r="Z12" s="178"/>
    </row>
    <row r="13" spans="1:26" ht="17.25" customHeight="1">
      <c r="B13" s="178"/>
      <c r="C13" s="178"/>
      <c r="D13" s="178"/>
      <c r="E13" s="178"/>
      <c r="F13" s="178"/>
      <c r="G13" s="178"/>
      <c r="H13" s="178"/>
      <c r="I13" s="178"/>
      <c r="J13" s="178"/>
      <c r="K13" s="178"/>
      <c r="L13" s="178"/>
      <c r="M13" s="178"/>
      <c r="N13" s="178"/>
      <c r="O13" s="178"/>
      <c r="P13" s="178"/>
      <c r="Q13" s="178"/>
      <c r="R13" s="178"/>
      <c r="S13" s="178"/>
      <c r="T13" s="178"/>
      <c r="U13" s="178"/>
      <c r="V13" s="178"/>
      <c r="W13" s="178"/>
      <c r="X13" s="178"/>
      <c r="Y13" s="178"/>
      <c r="Z13" s="178"/>
    </row>
    <row r="14" spans="1:26" ht="17.25" customHeight="1">
      <c r="A14" s="178"/>
      <c r="B14" s="178"/>
      <c r="C14" s="178"/>
      <c r="D14" s="178"/>
      <c r="E14" s="178"/>
      <c r="F14" s="178"/>
      <c r="G14" s="178"/>
      <c r="H14" s="178"/>
      <c r="I14" s="178"/>
      <c r="J14" s="178"/>
      <c r="K14" s="178"/>
      <c r="L14" s="178"/>
      <c r="M14" s="178"/>
      <c r="N14" s="178"/>
      <c r="O14" s="178"/>
      <c r="P14" s="178"/>
      <c r="Q14" s="178"/>
      <c r="R14" s="178"/>
      <c r="S14" s="178"/>
      <c r="T14" s="178"/>
      <c r="U14" s="178"/>
      <c r="V14" s="178"/>
      <c r="W14" s="178"/>
      <c r="X14" s="178"/>
      <c r="Y14" s="178"/>
      <c r="Z14" s="178"/>
    </row>
    <row r="15" spans="1:26" ht="17.25" customHeight="1">
      <c r="A15" s="178"/>
      <c r="B15" s="178"/>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8"/>
    </row>
    <row r="16" spans="1:26" ht="17.25" customHeight="1">
      <c r="A16" s="178"/>
      <c r="B16" s="178"/>
      <c r="C16" s="178"/>
      <c r="D16" s="178"/>
      <c r="E16" s="178"/>
      <c r="F16" s="178"/>
      <c r="G16" s="178"/>
      <c r="H16" s="178"/>
      <c r="I16" s="178"/>
      <c r="J16" s="178"/>
      <c r="K16" s="178"/>
      <c r="L16" s="178"/>
      <c r="M16" s="178"/>
      <c r="N16" s="178"/>
      <c r="O16" s="178"/>
      <c r="P16" s="178"/>
      <c r="Q16" s="178"/>
      <c r="R16" s="178"/>
      <c r="S16" s="178"/>
      <c r="T16" s="178"/>
      <c r="U16" s="178"/>
      <c r="V16" s="178"/>
      <c r="W16" s="178"/>
      <c r="X16" s="178"/>
      <c r="Y16" s="178"/>
      <c r="Z16" s="178"/>
    </row>
    <row r="17" spans="1:26" ht="17.25" customHeight="1">
      <c r="A17" s="178"/>
      <c r="B17" s="178"/>
      <c r="C17" s="178"/>
      <c r="D17" s="178"/>
      <c r="E17" s="178"/>
      <c r="F17" s="178"/>
      <c r="G17" s="178"/>
      <c r="H17" s="178"/>
      <c r="I17" s="178"/>
      <c r="J17" s="178"/>
      <c r="K17" s="178"/>
      <c r="L17" s="178"/>
      <c r="M17" s="178"/>
      <c r="N17" s="178"/>
      <c r="O17" s="178"/>
      <c r="P17" s="178"/>
      <c r="Q17" s="178"/>
      <c r="R17" s="178"/>
      <c r="S17" s="178"/>
      <c r="T17" s="178"/>
      <c r="U17" s="178"/>
      <c r="V17" s="178"/>
      <c r="W17" s="178"/>
      <c r="X17" s="178"/>
      <c r="Y17" s="178"/>
      <c r="Z17" s="178"/>
    </row>
    <row r="18" spans="1:26" ht="17.25" customHeight="1">
      <c r="A18" s="178"/>
      <c r="B18" s="178"/>
      <c r="C18" s="178"/>
      <c r="D18" s="178"/>
      <c r="E18" s="178"/>
      <c r="F18" s="178"/>
      <c r="G18" s="178"/>
      <c r="H18" s="178"/>
      <c r="I18" s="178"/>
      <c r="J18" s="178"/>
      <c r="K18" s="178"/>
      <c r="L18" s="178"/>
      <c r="M18" s="178"/>
      <c r="N18" s="178"/>
      <c r="O18" s="178"/>
      <c r="P18" s="178"/>
      <c r="Q18" s="178"/>
      <c r="R18" s="178"/>
      <c r="S18" s="178"/>
      <c r="T18" s="178"/>
      <c r="U18" s="178"/>
      <c r="V18" s="178"/>
      <c r="W18" s="178"/>
      <c r="X18" s="178"/>
      <c r="Y18" s="178"/>
      <c r="Z18" s="178"/>
    </row>
    <row r="19" spans="1:26" ht="17.25" customHeight="1">
      <c r="A19" s="178"/>
      <c r="B19" s="178"/>
      <c r="C19" s="178"/>
      <c r="D19" s="178"/>
      <c r="E19" s="178"/>
      <c r="F19" s="178"/>
      <c r="G19" s="178"/>
      <c r="H19" s="178"/>
      <c r="I19" s="178"/>
      <c r="J19" s="178"/>
      <c r="K19" s="178"/>
      <c r="L19" s="178"/>
      <c r="M19" s="178"/>
      <c r="N19" s="178"/>
      <c r="O19" s="178"/>
      <c r="P19" s="178"/>
      <c r="Q19" s="178"/>
      <c r="R19" s="178"/>
      <c r="S19" s="178"/>
      <c r="T19" s="178"/>
      <c r="U19" s="178"/>
      <c r="V19" s="178"/>
      <c r="W19" s="178"/>
      <c r="X19" s="178"/>
      <c r="Y19" s="178"/>
      <c r="Z19" s="178"/>
    </row>
    <row r="20" spans="1:26" ht="17.25" customHeight="1">
      <c r="A20" s="178"/>
      <c r="B20" s="178"/>
      <c r="C20" s="178"/>
      <c r="D20" s="178"/>
      <c r="E20" s="178"/>
      <c r="F20" s="178"/>
      <c r="G20" s="178"/>
      <c r="H20" s="178"/>
      <c r="I20" s="178"/>
      <c r="J20" s="178"/>
      <c r="K20" s="178"/>
      <c r="L20" s="178"/>
      <c r="M20" s="178"/>
      <c r="N20" s="178"/>
      <c r="O20" s="178"/>
      <c r="P20" s="178"/>
      <c r="Q20" s="178"/>
      <c r="R20" s="178"/>
      <c r="S20" s="178"/>
      <c r="T20" s="178"/>
      <c r="U20" s="178"/>
      <c r="V20" s="178"/>
      <c r="W20" s="178"/>
      <c r="X20" s="178"/>
      <c r="Y20" s="178"/>
      <c r="Z20" s="178"/>
    </row>
    <row r="21" spans="1:26" ht="17.25" customHeight="1">
      <c r="A21" s="178"/>
      <c r="B21" s="178"/>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row>
    <row r="22" spans="1:26" ht="17.25" customHeight="1">
      <c r="A22" s="178"/>
      <c r="B22" s="178"/>
      <c r="C22" s="178"/>
      <c r="D22" s="178"/>
      <c r="E22" s="178"/>
      <c r="F22" s="178"/>
      <c r="G22" s="178"/>
      <c r="H22" s="178"/>
      <c r="I22" s="178"/>
      <c r="J22" s="178"/>
      <c r="K22" s="178"/>
      <c r="L22" s="178"/>
      <c r="M22" s="178"/>
      <c r="N22" s="178"/>
      <c r="O22" s="178"/>
      <c r="P22" s="178"/>
      <c r="Q22" s="178"/>
      <c r="R22" s="178"/>
      <c r="S22" s="178"/>
      <c r="T22" s="178"/>
      <c r="U22" s="178"/>
      <c r="V22" s="178"/>
      <c r="W22" s="178"/>
      <c r="X22" s="178"/>
      <c r="Y22" s="178"/>
      <c r="Z22" s="178"/>
    </row>
    <row r="23" spans="1:26" ht="17.25" customHeight="1">
      <c r="A23" s="178"/>
      <c r="B23" s="178"/>
      <c r="C23" s="178"/>
      <c r="D23" s="178"/>
      <c r="E23" s="178"/>
      <c r="F23" s="178"/>
      <c r="G23" s="178"/>
      <c r="H23" s="178"/>
      <c r="I23" s="178"/>
      <c r="J23" s="178"/>
      <c r="K23" s="178"/>
      <c r="L23" s="178"/>
      <c r="M23" s="178"/>
      <c r="N23" s="178"/>
      <c r="O23" s="178"/>
      <c r="P23" s="178"/>
      <c r="Q23" s="178"/>
      <c r="R23" s="178"/>
      <c r="S23" s="178"/>
      <c r="T23" s="178"/>
      <c r="U23" s="178"/>
      <c r="V23" s="178"/>
      <c r="W23" s="178"/>
      <c r="X23" s="178"/>
      <c r="Y23" s="178"/>
      <c r="Z23" s="178"/>
    </row>
    <row r="24" spans="1:26" ht="17.25" customHeight="1">
      <c r="A24" s="178"/>
      <c r="B24" s="178"/>
      <c r="C24" s="178"/>
      <c r="D24" s="178"/>
      <c r="E24" s="178"/>
      <c r="F24" s="178"/>
      <c r="G24" s="178"/>
      <c r="H24" s="178"/>
      <c r="I24" s="178"/>
      <c r="J24" s="178"/>
      <c r="K24" s="178"/>
      <c r="L24" s="178"/>
      <c r="M24" s="178"/>
      <c r="N24" s="178"/>
      <c r="O24" s="178"/>
      <c r="P24" s="178"/>
      <c r="Q24" s="178"/>
      <c r="R24" s="178"/>
      <c r="S24" s="178"/>
      <c r="T24" s="178"/>
      <c r="U24" s="178"/>
      <c r="V24" s="178"/>
      <c r="W24" s="178"/>
      <c r="X24" s="178"/>
      <c r="Y24" s="178"/>
      <c r="Z24" s="178"/>
    </row>
    <row r="25" spans="1:26" ht="17.25" customHeight="1">
      <c r="A25" s="178"/>
      <c r="B25" s="178"/>
      <c r="C25" s="178"/>
      <c r="D25" s="178"/>
      <c r="E25" s="178"/>
      <c r="F25" s="178"/>
      <c r="G25" s="178"/>
      <c r="H25" s="178"/>
      <c r="I25" s="178"/>
      <c r="J25" s="178"/>
      <c r="K25" s="178"/>
      <c r="L25" s="178"/>
      <c r="M25" s="178"/>
      <c r="N25" s="178"/>
      <c r="O25" s="178"/>
      <c r="P25" s="178"/>
      <c r="Q25" s="178"/>
      <c r="R25" s="178"/>
      <c r="S25" s="178"/>
      <c r="T25" s="178"/>
      <c r="U25" s="178"/>
      <c r="V25" s="178"/>
      <c r="W25" s="178"/>
      <c r="X25" s="178"/>
      <c r="Y25" s="178"/>
      <c r="Z25" s="178"/>
    </row>
    <row r="26" spans="1:26" ht="17.25" customHeight="1">
      <c r="A26" s="178"/>
      <c r="B26" s="178"/>
      <c r="C26" s="178"/>
      <c r="D26" s="178"/>
      <c r="E26" s="178"/>
      <c r="F26" s="178"/>
      <c r="G26" s="178"/>
      <c r="H26" s="178"/>
      <c r="I26" s="178"/>
      <c r="J26" s="178"/>
      <c r="K26" s="178"/>
      <c r="L26" s="178"/>
      <c r="M26" s="178"/>
      <c r="N26" s="178"/>
      <c r="O26" s="178"/>
      <c r="P26" s="178"/>
      <c r="Q26" s="178"/>
      <c r="R26" s="178"/>
      <c r="S26" s="178"/>
      <c r="T26" s="178"/>
      <c r="U26" s="178"/>
      <c r="V26" s="178"/>
      <c r="W26" s="178"/>
      <c r="X26" s="178"/>
      <c r="Y26" s="178"/>
      <c r="Z26" s="178"/>
    </row>
    <row r="27" spans="1:26" ht="17.25" customHeight="1">
      <c r="A27" s="178"/>
      <c r="B27" s="178"/>
      <c r="C27" s="178"/>
      <c r="D27" s="178"/>
      <c r="E27" s="178"/>
      <c r="F27" s="178"/>
      <c r="G27" s="178"/>
      <c r="H27" s="178"/>
      <c r="I27" s="178"/>
      <c r="J27" s="178"/>
      <c r="K27" s="178"/>
      <c r="L27" s="178"/>
      <c r="M27" s="178"/>
      <c r="N27" s="178"/>
      <c r="O27" s="178"/>
      <c r="P27" s="178"/>
      <c r="Q27" s="178"/>
      <c r="R27" s="178"/>
      <c r="S27" s="178"/>
      <c r="T27" s="178"/>
      <c r="U27" s="178"/>
      <c r="V27" s="178"/>
      <c r="W27" s="178"/>
      <c r="X27" s="178"/>
      <c r="Y27" s="178"/>
      <c r="Z27" s="178"/>
    </row>
    <row r="28" spans="1:26" ht="17.25" customHeight="1">
      <c r="A28" s="178"/>
      <c r="B28" s="178"/>
      <c r="C28" s="178"/>
      <c r="D28" s="178"/>
      <c r="E28" s="178"/>
      <c r="F28" s="178"/>
      <c r="G28" s="178"/>
      <c r="H28" s="178"/>
      <c r="I28" s="178"/>
      <c r="J28" s="178"/>
      <c r="K28" s="178"/>
      <c r="L28" s="178"/>
      <c r="M28" s="178"/>
      <c r="N28" s="178"/>
      <c r="O28" s="178"/>
      <c r="P28" s="178"/>
      <c r="Q28" s="178"/>
      <c r="R28" s="178"/>
      <c r="S28" s="178"/>
      <c r="T28" s="178"/>
      <c r="U28" s="178"/>
      <c r="V28" s="178"/>
      <c r="W28" s="178"/>
      <c r="X28" s="178"/>
      <c r="Y28" s="178"/>
      <c r="Z28" s="178"/>
    </row>
    <row r="29" spans="1:26" ht="17.25" customHeight="1">
      <c r="A29" s="178"/>
      <c r="B29" s="178"/>
      <c r="C29" s="178"/>
      <c r="D29" s="178"/>
      <c r="E29" s="178"/>
      <c r="F29" s="178"/>
      <c r="G29" s="178"/>
      <c r="H29" s="178"/>
      <c r="I29" s="178"/>
      <c r="J29" s="178"/>
      <c r="K29" s="178"/>
      <c r="L29" s="178"/>
      <c r="M29" s="178"/>
      <c r="N29" s="178"/>
      <c r="O29" s="178"/>
      <c r="P29" s="178"/>
      <c r="Q29" s="178"/>
      <c r="R29" s="178"/>
      <c r="S29" s="178"/>
      <c r="T29" s="178"/>
      <c r="U29" s="178"/>
      <c r="V29" s="178"/>
      <c r="W29" s="178"/>
      <c r="X29" s="178"/>
      <c r="Y29" s="178"/>
      <c r="Z29" s="178"/>
    </row>
    <row r="30" spans="1:26" ht="17.25" customHeight="1">
      <c r="A30" s="178"/>
      <c r="B30" s="178"/>
      <c r="C30" s="178"/>
      <c r="D30" s="178"/>
      <c r="E30" s="178"/>
      <c r="F30" s="178"/>
      <c r="G30" s="178"/>
      <c r="H30" s="178"/>
      <c r="I30" s="178"/>
      <c r="J30" s="178"/>
      <c r="K30" s="178"/>
      <c r="L30" s="178"/>
      <c r="M30" s="178"/>
      <c r="N30" s="178"/>
      <c r="O30" s="178"/>
      <c r="P30" s="178"/>
      <c r="Q30" s="178"/>
      <c r="R30" s="178"/>
      <c r="S30" s="178"/>
      <c r="T30" s="178"/>
      <c r="U30" s="178"/>
      <c r="V30" s="178"/>
      <c r="W30" s="178"/>
      <c r="X30" s="178"/>
      <c r="Y30" s="178"/>
      <c r="Z30" s="178"/>
    </row>
    <row r="31" spans="1:26" ht="17.25" customHeight="1">
      <c r="A31" s="178"/>
      <c r="B31" s="178"/>
      <c r="C31" s="178"/>
      <c r="D31" s="178"/>
      <c r="E31" s="178"/>
      <c r="F31" s="178"/>
      <c r="G31" s="178"/>
      <c r="H31" s="178"/>
      <c r="I31" s="178"/>
      <c r="J31" s="178"/>
      <c r="K31" s="178"/>
      <c r="L31" s="178"/>
      <c r="M31" s="178"/>
      <c r="N31" s="178"/>
      <c r="O31" s="178"/>
      <c r="P31" s="178"/>
      <c r="Q31" s="178"/>
      <c r="R31" s="178"/>
      <c r="S31" s="178"/>
      <c r="T31" s="178"/>
      <c r="U31" s="178"/>
      <c r="V31" s="178"/>
      <c r="W31" s="178"/>
      <c r="X31" s="178"/>
      <c r="Y31" s="178"/>
      <c r="Z31" s="178"/>
    </row>
    <row r="32" spans="1:26" ht="17.25" customHeight="1">
      <c r="A32" s="178"/>
      <c r="B32" s="178"/>
      <c r="C32" s="178"/>
      <c r="D32" s="178"/>
      <c r="E32" s="178"/>
      <c r="F32" s="178"/>
      <c r="G32" s="178"/>
      <c r="H32" s="178"/>
      <c r="I32" s="178"/>
      <c r="J32" s="178"/>
      <c r="K32" s="178"/>
      <c r="L32" s="178"/>
      <c r="M32" s="178"/>
      <c r="N32" s="178"/>
      <c r="O32" s="178"/>
      <c r="P32" s="178"/>
      <c r="Q32" s="178"/>
      <c r="R32" s="178"/>
      <c r="S32" s="178"/>
      <c r="T32" s="178"/>
      <c r="U32" s="178"/>
      <c r="V32" s="178"/>
      <c r="W32" s="178"/>
      <c r="X32" s="178"/>
      <c r="Y32" s="178"/>
      <c r="Z32" s="178"/>
    </row>
    <row r="33" spans="1:26" ht="17.25" customHeight="1">
      <c r="A33" s="178"/>
      <c r="B33" s="178"/>
      <c r="C33" s="178"/>
      <c r="D33" s="178"/>
      <c r="E33" s="178"/>
      <c r="F33" s="178"/>
      <c r="G33" s="178"/>
      <c r="H33" s="178"/>
      <c r="I33" s="178"/>
      <c r="J33" s="178"/>
      <c r="K33" s="178"/>
      <c r="L33" s="178"/>
      <c r="M33" s="178"/>
      <c r="N33" s="178"/>
      <c r="O33" s="178"/>
      <c r="P33" s="178"/>
      <c r="Q33" s="178"/>
      <c r="R33" s="178"/>
      <c r="S33" s="178"/>
      <c r="T33" s="178"/>
      <c r="U33" s="178"/>
      <c r="V33" s="178"/>
      <c r="W33" s="178"/>
      <c r="X33" s="178"/>
      <c r="Y33" s="178"/>
      <c r="Z33" s="178"/>
    </row>
    <row r="34" spans="1:26" ht="17.25" customHeight="1">
      <c r="A34" s="178"/>
      <c r="B34" s="178"/>
      <c r="C34" s="178"/>
      <c r="D34" s="178"/>
      <c r="E34" s="178"/>
      <c r="F34" s="178"/>
      <c r="G34" s="178"/>
      <c r="H34" s="178"/>
      <c r="I34" s="178"/>
      <c r="J34" s="178"/>
      <c r="K34" s="178"/>
      <c r="L34" s="178"/>
      <c r="M34" s="178"/>
      <c r="N34" s="178"/>
      <c r="O34" s="178"/>
      <c r="P34" s="178"/>
      <c r="Q34" s="178"/>
      <c r="R34" s="178"/>
      <c r="S34" s="178"/>
      <c r="T34" s="178"/>
      <c r="U34" s="178"/>
      <c r="V34" s="178"/>
      <c r="W34" s="178"/>
      <c r="X34" s="178"/>
      <c r="Y34" s="178"/>
      <c r="Z34" s="178"/>
    </row>
    <row r="35" spans="1:26" ht="17.25" customHeight="1">
      <c r="A35" s="178"/>
      <c r="B35" s="178"/>
      <c r="C35" s="178"/>
      <c r="D35" s="178"/>
      <c r="E35" s="178"/>
      <c r="F35" s="178"/>
      <c r="G35" s="178"/>
      <c r="H35" s="178"/>
      <c r="I35" s="178"/>
      <c r="J35" s="178"/>
      <c r="K35" s="178"/>
      <c r="L35" s="178"/>
      <c r="M35" s="178"/>
      <c r="N35" s="178"/>
      <c r="O35" s="178"/>
      <c r="P35" s="178"/>
      <c r="Q35" s="178"/>
      <c r="R35" s="178"/>
      <c r="S35" s="178"/>
      <c r="T35" s="178"/>
      <c r="U35" s="178"/>
      <c r="V35" s="178"/>
      <c r="W35" s="178"/>
      <c r="X35" s="178"/>
      <c r="Y35" s="178"/>
      <c r="Z35" s="178"/>
    </row>
    <row r="36" spans="1:26" ht="17.25" customHeight="1">
      <c r="A36" s="178"/>
      <c r="B36" s="178"/>
      <c r="C36" s="178"/>
      <c r="D36" s="178"/>
      <c r="E36" s="178"/>
      <c r="F36" s="178"/>
      <c r="G36" s="178"/>
      <c r="H36" s="178"/>
      <c r="I36" s="178"/>
      <c r="J36" s="178"/>
      <c r="K36" s="178"/>
      <c r="L36" s="178"/>
      <c r="M36" s="178"/>
      <c r="N36" s="178"/>
      <c r="O36" s="178"/>
      <c r="P36" s="178"/>
      <c r="Q36" s="178"/>
      <c r="R36" s="178"/>
      <c r="S36" s="178"/>
      <c r="T36" s="178"/>
      <c r="U36" s="178"/>
      <c r="V36" s="178"/>
      <c r="W36" s="178"/>
      <c r="X36" s="178"/>
      <c r="Y36" s="178"/>
      <c r="Z36" s="178"/>
    </row>
    <row r="37" spans="1:26" ht="17.25" customHeight="1">
      <c r="A37" s="178"/>
      <c r="B37" s="178"/>
      <c r="C37" s="178"/>
      <c r="D37" s="178"/>
      <c r="E37" s="178"/>
      <c r="F37" s="178"/>
      <c r="G37" s="178"/>
      <c r="H37" s="178"/>
      <c r="I37" s="178"/>
      <c r="J37" s="178"/>
      <c r="K37" s="178"/>
      <c r="L37" s="178"/>
      <c r="M37" s="178"/>
      <c r="N37" s="178"/>
      <c r="O37" s="178"/>
      <c r="P37" s="178"/>
      <c r="Q37" s="178"/>
      <c r="R37" s="178"/>
      <c r="S37" s="178"/>
      <c r="T37" s="178"/>
      <c r="U37" s="178"/>
      <c r="V37" s="178"/>
      <c r="W37" s="178"/>
      <c r="X37" s="178"/>
      <c r="Y37" s="178"/>
      <c r="Z37" s="178"/>
    </row>
    <row r="38" spans="1:26" ht="17.25" customHeight="1">
      <c r="A38" s="178"/>
      <c r="B38" s="178"/>
      <c r="C38" s="178"/>
      <c r="D38" s="178"/>
      <c r="E38" s="178"/>
      <c r="F38" s="178"/>
      <c r="G38" s="178"/>
      <c r="H38" s="178"/>
      <c r="I38" s="178"/>
      <c r="J38" s="178"/>
      <c r="K38" s="178"/>
      <c r="L38" s="178"/>
      <c r="M38" s="178"/>
      <c r="N38" s="178"/>
      <c r="O38" s="178"/>
      <c r="P38" s="178"/>
      <c r="Q38" s="178"/>
      <c r="R38" s="178"/>
      <c r="S38" s="178"/>
      <c r="T38" s="178"/>
      <c r="U38" s="178"/>
      <c r="V38" s="178"/>
      <c r="W38" s="178"/>
      <c r="X38" s="178"/>
      <c r="Y38" s="178"/>
      <c r="Z38" s="178"/>
    </row>
    <row r="39" spans="1:26" ht="17.25" customHeight="1">
      <c r="A39" s="178"/>
      <c r="B39" s="178"/>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8"/>
    </row>
    <row r="40" spans="1:26" ht="17.25" customHeight="1">
      <c r="A40" s="178"/>
      <c r="B40" s="178"/>
      <c r="C40" s="178"/>
      <c r="D40" s="178"/>
      <c r="E40" s="178"/>
      <c r="F40" s="178"/>
      <c r="G40" s="178"/>
      <c r="H40" s="178"/>
      <c r="I40" s="178"/>
      <c r="J40" s="178"/>
      <c r="K40" s="178"/>
      <c r="L40" s="178"/>
      <c r="M40" s="178"/>
      <c r="N40" s="178"/>
      <c r="O40" s="178"/>
      <c r="P40" s="178"/>
      <c r="Q40" s="178"/>
      <c r="R40" s="178"/>
      <c r="S40" s="178"/>
      <c r="T40" s="178"/>
      <c r="U40" s="178"/>
      <c r="V40" s="178"/>
      <c r="W40" s="178"/>
      <c r="X40" s="178"/>
      <c r="Y40" s="178"/>
      <c r="Z40" s="178"/>
    </row>
    <row r="41" spans="1:26" ht="17.25" customHeight="1">
      <c r="A41" s="178"/>
      <c r="B41" s="178"/>
      <c r="C41" s="178"/>
      <c r="D41" s="178"/>
      <c r="E41" s="178"/>
      <c r="F41" s="178"/>
      <c r="G41" s="178"/>
      <c r="H41" s="178"/>
      <c r="I41" s="178"/>
      <c r="J41" s="178"/>
      <c r="K41" s="178"/>
      <c r="L41" s="178"/>
      <c r="M41" s="178"/>
      <c r="N41" s="178"/>
      <c r="O41" s="178"/>
      <c r="P41" s="178"/>
      <c r="Q41" s="178"/>
      <c r="R41" s="178"/>
      <c r="S41" s="178"/>
      <c r="T41" s="178"/>
      <c r="U41" s="178"/>
      <c r="V41" s="178"/>
      <c r="W41" s="178"/>
      <c r="X41" s="178"/>
      <c r="Y41" s="178"/>
      <c r="Z41" s="178"/>
    </row>
    <row r="42" spans="1:26" ht="17.25" customHeight="1">
      <c r="A42" s="178"/>
      <c r="B42" s="178"/>
      <c r="C42" s="178"/>
      <c r="D42" s="178"/>
      <c r="E42" s="178"/>
      <c r="F42" s="178"/>
      <c r="G42" s="178"/>
      <c r="H42" s="178"/>
      <c r="I42" s="178"/>
      <c r="J42" s="178"/>
      <c r="K42" s="178"/>
      <c r="L42" s="178"/>
      <c r="M42" s="178"/>
      <c r="N42" s="178"/>
      <c r="O42" s="178"/>
      <c r="P42" s="178"/>
      <c r="Q42" s="178"/>
      <c r="R42" s="178"/>
      <c r="S42" s="178"/>
      <c r="T42" s="178"/>
      <c r="U42" s="178"/>
      <c r="V42" s="178"/>
      <c r="W42" s="178"/>
      <c r="X42" s="178"/>
      <c r="Y42" s="178"/>
      <c r="Z42" s="178"/>
    </row>
    <row r="43" spans="1:26" ht="17.25" customHeight="1">
      <c r="A43" s="178"/>
      <c r="B43" s="178"/>
      <c r="C43" s="178"/>
      <c r="D43" s="178"/>
      <c r="E43" s="178"/>
      <c r="F43" s="178"/>
      <c r="G43" s="178"/>
      <c r="H43" s="178"/>
      <c r="I43" s="178"/>
      <c r="J43" s="178"/>
      <c r="K43" s="178"/>
      <c r="L43" s="178"/>
      <c r="M43" s="178"/>
      <c r="N43" s="178"/>
      <c r="O43" s="178"/>
      <c r="P43" s="178"/>
      <c r="Q43" s="178"/>
      <c r="R43" s="178"/>
      <c r="S43" s="178"/>
      <c r="T43" s="178"/>
      <c r="U43" s="178"/>
      <c r="V43" s="178"/>
      <c r="W43" s="178"/>
      <c r="X43" s="178"/>
      <c r="Y43" s="178"/>
      <c r="Z43" s="178"/>
    </row>
    <row r="44" spans="1:26" ht="17.25" customHeight="1">
      <c r="A44" s="178"/>
      <c r="B44" s="178"/>
      <c r="C44" s="178"/>
      <c r="D44" s="178"/>
      <c r="E44" s="178"/>
      <c r="F44" s="178"/>
      <c r="G44" s="178"/>
      <c r="H44" s="178"/>
      <c r="I44" s="178"/>
      <c r="J44" s="178"/>
      <c r="K44" s="178"/>
      <c r="L44" s="178"/>
      <c r="M44" s="178"/>
      <c r="N44" s="178"/>
      <c r="O44" s="178"/>
      <c r="P44" s="178"/>
      <c r="Q44" s="178"/>
      <c r="R44" s="178"/>
      <c r="S44" s="178"/>
      <c r="T44" s="178"/>
      <c r="U44" s="178"/>
      <c r="V44" s="178"/>
      <c r="W44" s="178"/>
      <c r="X44" s="178"/>
      <c r="Y44" s="178"/>
      <c r="Z44" s="178"/>
    </row>
    <row r="45" spans="1:26" ht="17.25" customHeight="1">
      <c r="A45" s="178"/>
      <c r="B45" s="178"/>
      <c r="C45" s="178"/>
      <c r="D45" s="178"/>
      <c r="E45" s="178"/>
      <c r="F45" s="178"/>
      <c r="G45" s="178"/>
      <c r="H45" s="178"/>
      <c r="I45" s="178"/>
      <c r="J45" s="178"/>
      <c r="K45" s="178"/>
      <c r="L45" s="178"/>
      <c r="M45" s="178"/>
      <c r="N45" s="178"/>
      <c r="O45" s="178"/>
      <c r="P45" s="178"/>
      <c r="Q45" s="178"/>
      <c r="R45" s="178"/>
      <c r="S45" s="178"/>
      <c r="T45" s="178"/>
      <c r="U45" s="178"/>
      <c r="V45" s="178"/>
      <c r="W45" s="178"/>
      <c r="X45" s="178"/>
      <c r="Y45" s="178"/>
      <c r="Z45" s="178"/>
    </row>
    <row r="46" spans="1:26" ht="17.25" customHeight="1">
      <c r="A46" s="178"/>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row>
    <row r="47" spans="1:26" ht="17.25" customHeight="1">
      <c r="A47" s="178"/>
      <c r="B47" s="178"/>
      <c r="C47" s="178"/>
      <c r="D47" s="178"/>
      <c r="E47" s="178"/>
      <c r="F47" s="178"/>
      <c r="G47" s="178"/>
      <c r="H47" s="178"/>
      <c r="I47" s="178"/>
      <c r="J47" s="178"/>
      <c r="K47" s="178"/>
      <c r="L47" s="178"/>
      <c r="M47" s="178"/>
      <c r="N47" s="178"/>
      <c r="O47" s="178"/>
      <c r="P47" s="178"/>
      <c r="Q47" s="178"/>
      <c r="R47" s="178"/>
      <c r="S47" s="178"/>
      <c r="T47" s="178"/>
      <c r="U47" s="178"/>
      <c r="V47" s="178"/>
      <c r="W47" s="178"/>
      <c r="X47" s="178"/>
      <c r="Y47" s="178"/>
      <c r="Z47" s="178"/>
    </row>
    <row r="48" spans="1:26" ht="17.25" customHeight="1">
      <c r="A48" s="178"/>
      <c r="B48" s="178"/>
      <c r="C48" s="178"/>
      <c r="D48" s="178"/>
      <c r="E48" s="178"/>
      <c r="F48" s="178"/>
      <c r="G48" s="178"/>
      <c r="H48" s="178"/>
      <c r="I48" s="178"/>
      <c r="J48" s="178"/>
      <c r="K48" s="178"/>
      <c r="L48" s="178"/>
      <c r="M48" s="178"/>
      <c r="N48" s="178"/>
      <c r="O48" s="178"/>
      <c r="P48" s="178"/>
      <c r="Q48" s="178"/>
      <c r="R48" s="178"/>
      <c r="S48" s="178"/>
      <c r="T48" s="178"/>
      <c r="U48" s="178"/>
      <c r="V48" s="178"/>
      <c r="W48" s="178"/>
      <c r="X48" s="178"/>
      <c r="Y48" s="178"/>
      <c r="Z48" s="178"/>
    </row>
    <row r="49" spans="1:26" ht="17.25" customHeight="1">
      <c r="A49" s="178"/>
      <c r="B49" s="178"/>
      <c r="C49" s="178"/>
      <c r="D49" s="178"/>
      <c r="E49" s="178"/>
      <c r="F49" s="178"/>
      <c r="G49" s="178"/>
      <c r="H49" s="178"/>
      <c r="I49" s="178"/>
      <c r="J49" s="178"/>
      <c r="K49" s="178"/>
      <c r="L49" s="178"/>
      <c r="M49" s="178"/>
      <c r="N49" s="178"/>
      <c r="O49" s="178"/>
      <c r="P49" s="178"/>
      <c r="Q49" s="178"/>
      <c r="R49" s="178"/>
      <c r="S49" s="178"/>
      <c r="T49" s="178"/>
      <c r="U49" s="178"/>
      <c r="V49" s="178"/>
      <c r="W49" s="178"/>
      <c r="X49" s="178"/>
      <c r="Y49" s="178"/>
      <c r="Z49" s="178"/>
    </row>
    <row r="50" spans="1:26" ht="17.25" customHeight="1">
      <c r="A50" s="178"/>
      <c r="B50" s="178"/>
      <c r="C50" s="178"/>
      <c r="D50" s="178"/>
      <c r="E50" s="178"/>
      <c r="F50" s="178"/>
      <c r="G50" s="178"/>
      <c r="H50" s="178"/>
      <c r="I50" s="178"/>
      <c r="J50" s="178"/>
      <c r="K50" s="178"/>
      <c r="L50" s="178"/>
      <c r="M50" s="178"/>
      <c r="N50" s="178"/>
      <c r="O50" s="178"/>
      <c r="P50" s="178"/>
      <c r="Q50" s="178"/>
      <c r="R50" s="178"/>
      <c r="S50" s="178"/>
      <c r="T50" s="178"/>
      <c r="U50" s="178"/>
      <c r="V50" s="178"/>
      <c r="W50" s="178"/>
      <c r="X50" s="178"/>
      <c r="Y50" s="178"/>
      <c r="Z50" s="178"/>
    </row>
    <row r="51" spans="1:26" ht="17.25" customHeight="1">
      <c r="A51" s="178"/>
      <c r="B51" s="178"/>
      <c r="C51" s="178"/>
      <c r="D51" s="178"/>
      <c r="E51" s="178"/>
      <c r="F51" s="178"/>
      <c r="G51" s="178"/>
      <c r="H51" s="178"/>
      <c r="I51" s="178"/>
      <c r="J51" s="178"/>
      <c r="K51" s="178"/>
      <c r="L51" s="178"/>
      <c r="M51" s="178"/>
      <c r="N51" s="178"/>
      <c r="O51" s="178"/>
      <c r="P51" s="178"/>
      <c r="Q51" s="178"/>
      <c r="R51" s="178"/>
      <c r="S51" s="178"/>
      <c r="T51" s="178"/>
      <c r="U51" s="178"/>
      <c r="V51" s="178"/>
      <c r="W51" s="178"/>
      <c r="X51" s="178"/>
      <c r="Y51" s="178"/>
      <c r="Z51" s="178"/>
    </row>
    <row r="52" spans="1:26" ht="17.25" customHeight="1">
      <c r="A52" s="178"/>
      <c r="B52" s="178"/>
      <c r="C52" s="178"/>
      <c r="D52" s="178"/>
      <c r="E52" s="178"/>
      <c r="F52" s="178"/>
      <c r="G52" s="178"/>
      <c r="H52" s="178"/>
      <c r="I52" s="178"/>
      <c r="J52" s="178"/>
      <c r="K52" s="178"/>
      <c r="L52" s="178"/>
      <c r="M52" s="178"/>
      <c r="N52" s="178"/>
      <c r="O52" s="178"/>
      <c r="P52" s="178"/>
      <c r="Q52" s="178"/>
      <c r="R52" s="178"/>
      <c r="S52" s="178"/>
      <c r="T52" s="178"/>
      <c r="U52" s="178"/>
      <c r="V52" s="178"/>
      <c r="W52" s="178"/>
      <c r="X52" s="178"/>
      <c r="Y52" s="178"/>
      <c r="Z52" s="178"/>
    </row>
    <row r="53" spans="1:26" ht="17.25" customHeight="1">
      <c r="A53" s="178"/>
      <c r="B53" s="178"/>
      <c r="C53" s="178"/>
      <c r="D53" s="178"/>
      <c r="E53" s="178"/>
      <c r="F53" s="178"/>
      <c r="G53" s="178"/>
      <c r="H53" s="178"/>
      <c r="I53" s="178"/>
      <c r="J53" s="178"/>
      <c r="K53" s="178"/>
      <c r="L53" s="178"/>
      <c r="M53" s="178"/>
      <c r="N53" s="178"/>
      <c r="O53" s="178"/>
      <c r="P53" s="178"/>
      <c r="Q53" s="178"/>
      <c r="R53" s="178"/>
      <c r="S53" s="178"/>
      <c r="T53" s="178"/>
      <c r="U53" s="178"/>
      <c r="V53" s="178"/>
      <c r="W53" s="178"/>
      <c r="X53" s="178"/>
      <c r="Y53" s="178"/>
      <c r="Z53" s="178"/>
    </row>
    <row r="54" spans="1:26" ht="17.25" customHeight="1">
      <c r="A54" s="178"/>
      <c r="B54" s="178"/>
      <c r="C54" s="178"/>
      <c r="D54" s="178"/>
      <c r="E54" s="178"/>
      <c r="F54" s="178"/>
      <c r="G54" s="178"/>
      <c r="H54" s="178"/>
      <c r="I54" s="178"/>
      <c r="J54" s="178"/>
      <c r="K54" s="178"/>
      <c r="L54" s="178"/>
      <c r="M54" s="178"/>
      <c r="N54" s="178"/>
      <c r="O54" s="178"/>
      <c r="P54" s="178"/>
      <c r="Q54" s="178"/>
      <c r="R54" s="178"/>
      <c r="S54" s="178"/>
      <c r="T54" s="178"/>
      <c r="U54" s="178"/>
      <c r="V54" s="178"/>
      <c r="W54" s="178"/>
      <c r="X54" s="178"/>
      <c r="Y54" s="178"/>
      <c r="Z54" s="178"/>
    </row>
    <row r="55" spans="1:26" ht="17.25" customHeight="1">
      <c r="A55" s="178"/>
      <c r="B55" s="178"/>
      <c r="C55" s="178"/>
      <c r="D55" s="178"/>
      <c r="E55" s="178"/>
      <c r="F55" s="178"/>
      <c r="G55" s="178"/>
      <c r="H55" s="178"/>
      <c r="I55" s="178"/>
      <c r="J55" s="178"/>
      <c r="K55" s="178"/>
      <c r="L55" s="178"/>
      <c r="M55" s="178"/>
      <c r="N55" s="178"/>
      <c r="O55" s="178"/>
      <c r="P55" s="178"/>
      <c r="Q55" s="178"/>
      <c r="R55" s="178"/>
      <c r="S55" s="178"/>
      <c r="T55" s="178"/>
      <c r="U55" s="178"/>
      <c r="V55" s="178"/>
      <c r="W55" s="178"/>
      <c r="X55" s="178"/>
      <c r="Y55" s="178"/>
      <c r="Z55" s="178"/>
    </row>
    <row r="56" spans="1:26" ht="17.25" customHeight="1">
      <c r="A56" s="178"/>
      <c r="B56" s="178"/>
      <c r="C56" s="178"/>
      <c r="D56" s="178"/>
      <c r="E56" s="178"/>
      <c r="F56" s="178"/>
      <c r="G56" s="178"/>
      <c r="H56" s="178"/>
      <c r="I56" s="178"/>
      <c r="J56" s="178"/>
      <c r="K56" s="178"/>
      <c r="L56" s="178"/>
      <c r="M56" s="178"/>
      <c r="N56" s="178"/>
      <c r="O56" s="178"/>
      <c r="P56" s="178"/>
      <c r="Q56" s="178"/>
      <c r="R56" s="178"/>
      <c r="S56" s="178"/>
      <c r="T56" s="178"/>
      <c r="U56" s="178"/>
      <c r="V56" s="178"/>
      <c r="W56" s="178"/>
      <c r="X56" s="178"/>
      <c r="Y56" s="178"/>
      <c r="Z56" s="178"/>
    </row>
    <row r="57" spans="1:26" ht="17.25" customHeight="1">
      <c r="A57" s="178"/>
      <c r="B57" s="178"/>
      <c r="C57" s="178"/>
      <c r="D57" s="178"/>
      <c r="E57" s="178"/>
      <c r="F57" s="178"/>
      <c r="G57" s="178"/>
      <c r="H57" s="178"/>
      <c r="I57" s="178"/>
      <c r="J57" s="178"/>
      <c r="K57" s="178"/>
      <c r="L57" s="178"/>
      <c r="M57" s="178"/>
      <c r="N57" s="178"/>
      <c r="O57" s="178"/>
      <c r="P57" s="178"/>
      <c r="Q57" s="178"/>
      <c r="R57" s="178"/>
      <c r="S57" s="178"/>
      <c r="T57" s="178"/>
      <c r="U57" s="178"/>
      <c r="V57" s="178"/>
      <c r="W57" s="178"/>
      <c r="X57" s="178"/>
      <c r="Y57" s="178"/>
      <c r="Z57" s="178"/>
    </row>
    <row r="58" spans="1:26" ht="17.25" customHeight="1">
      <c r="A58" s="178"/>
      <c r="B58" s="178"/>
      <c r="C58" s="178"/>
      <c r="D58" s="178"/>
      <c r="E58" s="178"/>
      <c r="F58" s="178"/>
      <c r="G58" s="178"/>
      <c r="H58" s="178"/>
      <c r="I58" s="178"/>
      <c r="J58" s="178"/>
      <c r="K58" s="178"/>
      <c r="L58" s="178"/>
      <c r="M58" s="178"/>
      <c r="N58" s="178"/>
      <c r="O58" s="178"/>
      <c r="P58" s="178"/>
      <c r="Q58" s="178"/>
      <c r="R58" s="178"/>
      <c r="S58" s="178"/>
      <c r="T58" s="178"/>
      <c r="U58" s="178"/>
      <c r="V58" s="178"/>
      <c r="W58" s="178"/>
      <c r="X58" s="178"/>
      <c r="Y58" s="178"/>
      <c r="Z58" s="178"/>
    </row>
    <row r="59" spans="1:26" ht="17.25" customHeight="1">
      <c r="A59" s="178"/>
      <c r="B59" s="178"/>
      <c r="C59" s="178"/>
      <c r="D59" s="178"/>
      <c r="E59" s="178"/>
      <c r="F59" s="178"/>
      <c r="G59" s="178"/>
      <c r="H59" s="178"/>
      <c r="I59" s="178"/>
      <c r="J59" s="178"/>
      <c r="K59" s="178"/>
      <c r="L59" s="178"/>
      <c r="M59" s="178"/>
      <c r="N59" s="178"/>
      <c r="O59" s="178"/>
      <c r="P59" s="178"/>
      <c r="Q59" s="178"/>
      <c r="R59" s="178"/>
      <c r="S59" s="178"/>
      <c r="T59" s="178"/>
      <c r="U59" s="178"/>
      <c r="V59" s="178"/>
      <c r="W59" s="178"/>
      <c r="X59" s="178"/>
      <c r="Y59" s="178"/>
      <c r="Z59" s="178"/>
    </row>
    <row r="60" spans="1:26" ht="17.25" customHeight="1">
      <c r="A60" s="178"/>
      <c r="B60" s="178"/>
      <c r="C60" s="178"/>
      <c r="D60" s="178"/>
      <c r="E60" s="178"/>
      <c r="F60" s="178"/>
      <c r="G60" s="178"/>
      <c r="H60" s="178"/>
      <c r="I60" s="178"/>
      <c r="J60" s="178"/>
      <c r="K60" s="178"/>
      <c r="L60" s="178"/>
      <c r="M60" s="178"/>
      <c r="N60" s="178"/>
      <c r="O60" s="178"/>
      <c r="P60" s="178"/>
      <c r="Q60" s="178"/>
      <c r="R60" s="178"/>
      <c r="S60" s="178"/>
      <c r="T60" s="178"/>
      <c r="U60" s="178"/>
      <c r="V60" s="178"/>
      <c r="W60" s="178"/>
      <c r="X60" s="178"/>
      <c r="Y60" s="178"/>
      <c r="Z60" s="178"/>
    </row>
    <row r="61" spans="1:26" ht="17.25" customHeight="1">
      <c r="A61" s="178"/>
      <c r="B61" s="178"/>
      <c r="C61" s="178"/>
      <c r="D61" s="178"/>
      <c r="E61" s="178"/>
      <c r="F61" s="178"/>
      <c r="G61" s="178"/>
      <c r="H61" s="178"/>
      <c r="I61" s="178"/>
      <c r="J61" s="178"/>
      <c r="K61" s="178"/>
      <c r="L61" s="178"/>
      <c r="M61" s="178"/>
      <c r="N61" s="178"/>
      <c r="O61" s="178"/>
      <c r="P61" s="178"/>
      <c r="Q61" s="178"/>
      <c r="R61" s="178"/>
      <c r="S61" s="178"/>
      <c r="T61" s="178"/>
      <c r="U61" s="178"/>
      <c r="V61" s="178"/>
      <c r="W61" s="178"/>
      <c r="X61" s="178"/>
      <c r="Y61" s="178"/>
      <c r="Z61" s="178"/>
    </row>
    <row r="62" spans="1:26" ht="17.25" customHeight="1">
      <c r="A62" s="178"/>
      <c r="B62" s="178"/>
      <c r="C62" s="178"/>
      <c r="D62" s="178"/>
      <c r="E62" s="178"/>
      <c r="F62" s="178"/>
      <c r="G62" s="178"/>
      <c r="H62" s="178"/>
      <c r="I62" s="178"/>
      <c r="J62" s="178"/>
      <c r="K62" s="178"/>
      <c r="L62" s="178"/>
      <c r="M62" s="178"/>
      <c r="N62" s="178"/>
      <c r="O62" s="178"/>
      <c r="P62" s="178"/>
      <c r="Q62" s="178"/>
      <c r="R62" s="178"/>
      <c r="S62" s="178"/>
      <c r="T62" s="178"/>
      <c r="U62" s="178"/>
      <c r="V62" s="178"/>
      <c r="W62" s="178"/>
      <c r="X62" s="178"/>
      <c r="Y62" s="178"/>
      <c r="Z62" s="178"/>
    </row>
    <row r="63" spans="1:26" ht="17.25" customHeight="1">
      <c r="A63" s="178"/>
      <c r="B63" s="178"/>
      <c r="C63" s="178"/>
      <c r="D63" s="178"/>
      <c r="E63" s="178"/>
      <c r="F63" s="178"/>
      <c r="G63" s="178"/>
      <c r="H63" s="178"/>
      <c r="I63" s="178"/>
      <c r="J63" s="178"/>
      <c r="K63" s="178"/>
      <c r="L63" s="178"/>
      <c r="M63" s="178"/>
      <c r="N63" s="178"/>
      <c r="O63" s="178"/>
      <c r="P63" s="178"/>
      <c r="Q63" s="178"/>
      <c r="R63" s="178"/>
      <c r="S63" s="178"/>
      <c r="T63" s="178"/>
      <c r="U63" s="178"/>
      <c r="V63" s="178"/>
      <c r="W63" s="178"/>
      <c r="X63" s="178"/>
      <c r="Y63" s="178"/>
      <c r="Z63" s="178"/>
    </row>
    <row r="64" spans="1:26" ht="17.25" customHeight="1">
      <c r="A64" s="178"/>
      <c r="B64" s="178"/>
      <c r="C64" s="178"/>
      <c r="D64" s="178"/>
      <c r="E64" s="178"/>
      <c r="F64" s="178"/>
      <c r="G64" s="178"/>
      <c r="H64" s="178"/>
      <c r="I64" s="178"/>
      <c r="J64" s="178"/>
      <c r="K64" s="178"/>
      <c r="L64" s="178"/>
      <c r="M64" s="178"/>
      <c r="N64" s="178"/>
      <c r="O64" s="178"/>
      <c r="P64" s="178"/>
      <c r="Q64" s="178"/>
      <c r="R64" s="178"/>
      <c r="S64" s="178"/>
      <c r="T64" s="178"/>
      <c r="U64" s="178"/>
      <c r="V64" s="178"/>
      <c r="W64" s="178"/>
      <c r="X64" s="178"/>
      <c r="Y64" s="178"/>
      <c r="Z64" s="178"/>
    </row>
    <row r="65" spans="1:26" ht="17.25" customHeight="1">
      <c r="A65" s="178"/>
      <c r="B65" s="178"/>
      <c r="C65" s="178"/>
      <c r="D65" s="178"/>
      <c r="E65" s="178"/>
      <c r="F65" s="178"/>
      <c r="G65" s="178"/>
      <c r="H65" s="178"/>
      <c r="I65" s="178"/>
      <c r="J65" s="178"/>
      <c r="K65" s="178"/>
      <c r="L65" s="178"/>
      <c r="M65" s="178"/>
      <c r="N65" s="178"/>
      <c r="O65" s="178"/>
      <c r="P65" s="178"/>
      <c r="Q65" s="178"/>
      <c r="R65" s="178"/>
      <c r="S65" s="178"/>
      <c r="T65" s="178"/>
      <c r="U65" s="178"/>
      <c r="V65" s="178"/>
      <c r="W65" s="178"/>
      <c r="X65" s="178"/>
      <c r="Y65" s="178"/>
      <c r="Z65" s="178"/>
    </row>
    <row r="66" spans="1:26" ht="17.25" customHeight="1">
      <c r="A66" s="178"/>
      <c r="B66" s="178"/>
      <c r="C66" s="178"/>
      <c r="D66" s="178"/>
      <c r="E66" s="178"/>
      <c r="F66" s="178"/>
      <c r="G66" s="178"/>
      <c r="H66" s="178"/>
      <c r="I66" s="178"/>
      <c r="J66" s="178"/>
      <c r="K66" s="178"/>
      <c r="L66" s="178"/>
      <c r="M66" s="178"/>
      <c r="N66" s="178"/>
      <c r="O66" s="178"/>
      <c r="P66" s="178"/>
      <c r="Q66" s="178"/>
      <c r="R66" s="178"/>
      <c r="S66" s="178"/>
      <c r="T66" s="178"/>
      <c r="U66" s="178"/>
      <c r="V66" s="178"/>
      <c r="W66" s="178"/>
      <c r="X66" s="178"/>
      <c r="Y66" s="178"/>
      <c r="Z66" s="178"/>
    </row>
    <row r="67" spans="1:26" ht="17.25" customHeight="1">
      <c r="A67" s="178"/>
      <c r="B67" s="178"/>
      <c r="C67" s="178"/>
      <c r="D67" s="178"/>
      <c r="E67" s="178"/>
      <c r="F67" s="178"/>
      <c r="G67" s="178"/>
      <c r="H67" s="178"/>
      <c r="I67" s="178"/>
      <c r="J67" s="178"/>
      <c r="K67" s="178"/>
      <c r="L67" s="178"/>
      <c r="M67" s="178"/>
      <c r="N67" s="178"/>
      <c r="O67" s="178"/>
      <c r="P67" s="178"/>
      <c r="Q67" s="178"/>
      <c r="R67" s="178"/>
      <c r="S67" s="178"/>
      <c r="T67" s="178"/>
      <c r="U67" s="178"/>
      <c r="V67" s="178"/>
      <c r="W67" s="178"/>
      <c r="X67" s="178"/>
      <c r="Y67" s="178"/>
      <c r="Z67" s="178"/>
    </row>
    <row r="68" spans="1:26" ht="17.25" customHeight="1">
      <c r="A68" s="178"/>
      <c r="B68" s="178"/>
      <c r="C68" s="178"/>
      <c r="D68" s="178"/>
      <c r="E68" s="178"/>
      <c r="F68" s="178"/>
      <c r="G68" s="178"/>
      <c r="H68" s="178"/>
      <c r="I68" s="178"/>
      <c r="J68" s="178"/>
      <c r="K68" s="178"/>
      <c r="L68" s="178"/>
      <c r="M68" s="178"/>
      <c r="N68" s="178"/>
      <c r="O68" s="178"/>
      <c r="P68" s="178"/>
      <c r="Q68" s="178"/>
      <c r="R68" s="178"/>
      <c r="S68" s="178"/>
      <c r="T68" s="178"/>
      <c r="U68" s="178"/>
      <c r="V68" s="178"/>
      <c r="W68" s="178"/>
      <c r="X68" s="178"/>
      <c r="Y68" s="178"/>
      <c r="Z68" s="178"/>
    </row>
    <row r="69" spans="1:26" ht="17.25" customHeight="1">
      <c r="A69" s="178"/>
      <c r="B69" s="178"/>
      <c r="C69" s="178"/>
      <c r="D69" s="178"/>
      <c r="E69" s="178"/>
      <c r="F69" s="178"/>
      <c r="G69" s="178"/>
      <c r="H69" s="178"/>
      <c r="I69" s="178"/>
      <c r="J69" s="178"/>
      <c r="K69" s="178"/>
      <c r="L69" s="178"/>
      <c r="M69" s="178"/>
      <c r="N69" s="178"/>
      <c r="O69" s="178"/>
      <c r="P69" s="178"/>
      <c r="Q69" s="178"/>
      <c r="R69" s="178"/>
      <c r="S69" s="178"/>
      <c r="T69" s="178"/>
      <c r="U69" s="178"/>
      <c r="V69" s="178"/>
      <c r="W69" s="178"/>
      <c r="X69" s="178"/>
      <c r="Y69" s="178"/>
      <c r="Z69" s="178"/>
    </row>
    <row r="70" spans="1:26" ht="17.25" customHeight="1">
      <c r="A70" s="178"/>
      <c r="B70" s="178"/>
      <c r="C70" s="178"/>
      <c r="D70" s="178"/>
      <c r="E70" s="178"/>
      <c r="F70" s="178"/>
      <c r="G70" s="178"/>
      <c r="H70" s="178"/>
      <c r="I70" s="178"/>
      <c r="J70" s="178"/>
      <c r="K70" s="178"/>
      <c r="L70" s="178"/>
      <c r="M70" s="178"/>
      <c r="N70" s="178"/>
      <c r="O70" s="178"/>
      <c r="P70" s="178"/>
      <c r="Q70" s="178"/>
      <c r="R70" s="178"/>
      <c r="S70" s="178"/>
      <c r="T70" s="178"/>
      <c r="U70" s="178"/>
      <c r="V70" s="178"/>
      <c r="W70" s="178"/>
      <c r="X70" s="178"/>
      <c r="Y70" s="178"/>
      <c r="Z70" s="178"/>
    </row>
    <row r="71" spans="1:26" ht="17.25" customHeight="1">
      <c r="A71" s="178"/>
      <c r="B71" s="178"/>
      <c r="C71" s="178"/>
      <c r="D71" s="178"/>
      <c r="E71" s="178"/>
      <c r="F71" s="178"/>
      <c r="G71" s="178"/>
      <c r="H71" s="178"/>
      <c r="I71" s="178"/>
      <c r="J71" s="178"/>
      <c r="K71" s="178"/>
      <c r="L71" s="178"/>
      <c r="M71" s="178"/>
      <c r="N71" s="178"/>
      <c r="O71" s="178"/>
      <c r="P71" s="178"/>
      <c r="Q71" s="178"/>
      <c r="R71" s="178"/>
      <c r="S71" s="178"/>
      <c r="T71" s="178"/>
      <c r="U71" s="178"/>
      <c r="V71" s="178"/>
      <c r="W71" s="178"/>
      <c r="X71" s="178"/>
      <c r="Y71" s="178"/>
      <c r="Z71" s="178"/>
    </row>
    <row r="72" spans="1:26" ht="17.25" customHeight="1">
      <c r="A72" s="178"/>
      <c r="B72" s="178"/>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row>
    <row r="73" spans="1:26" ht="17.25" customHeight="1">
      <c r="A73" s="178"/>
      <c r="B73" s="178"/>
      <c r="C73" s="178"/>
      <c r="D73" s="178"/>
      <c r="E73" s="178"/>
      <c r="F73" s="178"/>
      <c r="G73" s="178"/>
      <c r="H73" s="178"/>
      <c r="I73" s="178"/>
      <c r="J73" s="178"/>
      <c r="K73" s="178"/>
      <c r="L73" s="178"/>
      <c r="M73" s="178"/>
      <c r="N73" s="178"/>
      <c r="O73" s="178"/>
      <c r="P73" s="178"/>
      <c r="Q73" s="178"/>
      <c r="R73" s="178"/>
      <c r="S73" s="178"/>
      <c r="T73" s="178"/>
      <c r="U73" s="178"/>
      <c r="V73" s="178"/>
      <c r="W73" s="178"/>
      <c r="X73" s="178"/>
      <c r="Y73" s="178"/>
      <c r="Z73" s="178"/>
    </row>
    <row r="74" spans="1:26" ht="17.25" customHeight="1">
      <c r="A74" s="178"/>
      <c r="B74" s="178"/>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row>
    <row r="75" spans="1:26" ht="17.25" customHeight="1">
      <c r="A75" s="178"/>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row>
    <row r="76" spans="1:26" ht="17.25" customHeight="1">
      <c r="A76" s="178"/>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row>
    <row r="77" spans="1:26" ht="17.25" customHeight="1">
      <c r="A77" s="178"/>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row>
    <row r="78" spans="1:26" ht="17.25" customHeight="1">
      <c r="A78" s="178"/>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row>
    <row r="79" spans="1:26" ht="17.25" customHeight="1">
      <c r="A79" s="178"/>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row>
    <row r="80" spans="1:26" ht="17.25" customHeight="1">
      <c r="A80" s="178"/>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row>
    <row r="81" spans="1:26" ht="17.25" customHeight="1">
      <c r="A81" s="178"/>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row>
    <row r="82" spans="1:26" ht="17.25" customHeight="1">
      <c r="A82" s="178"/>
      <c r="B82" s="178"/>
      <c r="C82" s="178"/>
      <c r="D82" s="178"/>
      <c r="E82" s="178"/>
      <c r="F82" s="178"/>
      <c r="G82" s="178"/>
      <c r="H82" s="178"/>
      <c r="I82" s="178"/>
      <c r="J82" s="178"/>
      <c r="K82" s="178"/>
      <c r="L82" s="178"/>
      <c r="M82" s="178"/>
      <c r="N82" s="178"/>
      <c r="O82" s="178"/>
      <c r="P82" s="178"/>
      <c r="Q82" s="178"/>
      <c r="R82" s="178"/>
      <c r="S82" s="178"/>
      <c r="T82" s="178"/>
      <c r="U82" s="178"/>
      <c r="V82" s="178"/>
      <c r="W82" s="178"/>
      <c r="X82" s="178"/>
      <c r="Y82" s="178"/>
      <c r="Z82" s="178"/>
    </row>
    <row r="83" spans="1:26" ht="17.25" customHeight="1">
      <c r="A83" s="178"/>
      <c r="B83" s="178"/>
      <c r="C83" s="178"/>
      <c r="D83" s="178"/>
      <c r="E83" s="178"/>
      <c r="F83" s="178"/>
      <c r="G83" s="178"/>
      <c r="H83" s="178"/>
      <c r="I83" s="178"/>
      <c r="J83" s="178"/>
      <c r="K83" s="178"/>
      <c r="L83" s="178"/>
      <c r="M83" s="178"/>
      <c r="N83" s="178"/>
      <c r="O83" s="178"/>
      <c r="P83" s="178"/>
      <c r="Q83" s="178"/>
      <c r="R83" s="178"/>
      <c r="S83" s="178"/>
      <c r="T83" s="178"/>
      <c r="U83" s="178"/>
      <c r="V83" s="178"/>
      <c r="W83" s="178"/>
      <c r="X83" s="178"/>
      <c r="Y83" s="178"/>
      <c r="Z83" s="178"/>
    </row>
    <row r="84" spans="1:26" ht="17.25" customHeight="1">
      <c r="A84" s="178"/>
      <c r="B84" s="178"/>
      <c r="C84" s="178"/>
      <c r="D84" s="178"/>
      <c r="E84" s="178"/>
      <c r="F84" s="178"/>
      <c r="G84" s="178"/>
      <c r="H84" s="178"/>
      <c r="I84" s="178"/>
      <c r="J84" s="178"/>
      <c r="K84" s="178"/>
      <c r="L84" s="178"/>
      <c r="M84" s="178"/>
      <c r="N84" s="178"/>
      <c r="O84" s="178"/>
      <c r="P84" s="178"/>
      <c r="Q84" s="178"/>
      <c r="R84" s="178"/>
      <c r="S84" s="178"/>
      <c r="T84" s="178"/>
      <c r="U84" s="178"/>
      <c r="V84" s="178"/>
      <c r="W84" s="178"/>
      <c r="X84" s="178"/>
      <c r="Y84" s="178"/>
      <c r="Z84" s="178"/>
    </row>
    <row r="85" spans="1:26" ht="17.25" customHeight="1">
      <c r="A85" s="178"/>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row>
    <row r="86" spans="1:26" ht="17.25" customHeight="1">
      <c r="A86" s="178"/>
      <c r="B86" s="178"/>
      <c r="C86" s="178"/>
      <c r="D86" s="178"/>
      <c r="E86" s="178"/>
      <c r="F86" s="178"/>
      <c r="G86" s="178"/>
      <c r="H86" s="178"/>
      <c r="I86" s="178"/>
      <c r="J86" s="178"/>
      <c r="K86" s="178"/>
      <c r="L86" s="178"/>
      <c r="M86" s="178"/>
      <c r="N86" s="178"/>
      <c r="O86" s="178"/>
      <c r="P86" s="178"/>
      <c r="Q86" s="178"/>
      <c r="R86" s="178"/>
      <c r="S86" s="178"/>
      <c r="T86" s="178"/>
      <c r="U86" s="178"/>
      <c r="V86" s="178"/>
      <c r="W86" s="178"/>
      <c r="X86" s="178"/>
      <c r="Y86" s="178"/>
      <c r="Z86" s="178"/>
    </row>
    <row r="87" spans="1:26" ht="17.25" customHeight="1">
      <c r="A87" s="178"/>
      <c r="B87" s="178"/>
      <c r="C87" s="178"/>
      <c r="D87" s="178"/>
      <c r="E87" s="178"/>
      <c r="F87" s="178"/>
      <c r="G87" s="178"/>
      <c r="H87" s="178"/>
      <c r="I87" s="178"/>
      <c r="J87" s="178"/>
      <c r="K87" s="178"/>
      <c r="L87" s="178"/>
      <c r="M87" s="178"/>
      <c r="N87" s="178"/>
      <c r="O87" s="178"/>
      <c r="P87" s="178"/>
      <c r="Q87" s="178"/>
      <c r="R87" s="178"/>
      <c r="S87" s="178"/>
      <c r="T87" s="178"/>
      <c r="U87" s="178"/>
      <c r="V87" s="178"/>
      <c r="W87" s="178"/>
      <c r="X87" s="178"/>
      <c r="Y87" s="178"/>
      <c r="Z87" s="178"/>
    </row>
    <row r="88" spans="1:26" ht="17.25" customHeight="1">
      <c r="A88" s="178"/>
      <c r="B88" s="178"/>
      <c r="C88" s="178"/>
      <c r="D88" s="178"/>
      <c r="E88" s="178"/>
      <c r="F88" s="178"/>
      <c r="G88" s="178"/>
      <c r="H88" s="178"/>
      <c r="I88" s="178"/>
      <c r="J88" s="178"/>
      <c r="K88" s="178"/>
      <c r="L88" s="178"/>
      <c r="M88" s="178"/>
      <c r="N88" s="178"/>
      <c r="O88" s="178"/>
      <c r="P88" s="178"/>
      <c r="Q88" s="178"/>
      <c r="R88" s="178"/>
      <c r="S88" s="178"/>
      <c r="T88" s="178"/>
      <c r="U88" s="178"/>
      <c r="V88" s="178"/>
      <c r="W88" s="178"/>
      <c r="X88" s="178"/>
      <c r="Y88" s="178"/>
      <c r="Z88" s="178"/>
    </row>
    <row r="89" spans="1:26" ht="17.25" customHeight="1">
      <c r="A89" s="178"/>
      <c r="B89" s="178"/>
      <c r="C89" s="178"/>
      <c r="D89" s="178"/>
      <c r="E89" s="178"/>
      <c r="F89" s="178"/>
      <c r="G89" s="178"/>
      <c r="H89" s="178"/>
      <c r="I89" s="178"/>
      <c r="J89" s="178"/>
      <c r="K89" s="178"/>
      <c r="L89" s="178"/>
      <c r="M89" s="178"/>
      <c r="N89" s="178"/>
      <c r="O89" s="178"/>
      <c r="P89" s="178"/>
      <c r="Q89" s="178"/>
      <c r="R89" s="178"/>
      <c r="S89" s="178"/>
      <c r="T89" s="178"/>
      <c r="U89" s="178"/>
      <c r="V89" s="178"/>
      <c r="W89" s="178"/>
      <c r="X89" s="178"/>
      <c r="Y89" s="178"/>
      <c r="Z89" s="178"/>
    </row>
    <row r="90" spans="1:26" ht="17.25" customHeight="1">
      <c r="A90" s="178"/>
      <c r="B90" s="178"/>
      <c r="C90" s="178"/>
      <c r="D90" s="178"/>
      <c r="E90" s="178"/>
      <c r="F90" s="178"/>
      <c r="G90" s="178"/>
      <c r="H90" s="178"/>
      <c r="I90" s="178"/>
      <c r="J90" s="178"/>
      <c r="K90" s="178"/>
      <c r="L90" s="178"/>
      <c r="M90" s="178"/>
      <c r="N90" s="178"/>
      <c r="O90" s="178"/>
      <c r="P90" s="178"/>
      <c r="Q90" s="178"/>
      <c r="R90" s="178"/>
      <c r="S90" s="178"/>
      <c r="T90" s="178"/>
      <c r="U90" s="178"/>
      <c r="V90" s="178"/>
      <c r="W90" s="178"/>
      <c r="X90" s="178"/>
      <c r="Y90" s="178"/>
      <c r="Z90" s="178"/>
    </row>
    <row r="91" spans="1:26" ht="17.25" customHeight="1">
      <c r="A91" s="178"/>
      <c r="B91" s="178"/>
      <c r="C91" s="178"/>
      <c r="D91" s="178"/>
      <c r="E91" s="178"/>
      <c r="F91" s="178"/>
      <c r="G91" s="178"/>
      <c r="H91" s="178"/>
      <c r="I91" s="178"/>
      <c r="J91" s="178"/>
      <c r="K91" s="178"/>
      <c r="L91" s="178"/>
      <c r="M91" s="178"/>
      <c r="N91" s="178"/>
      <c r="O91" s="178"/>
      <c r="P91" s="178"/>
      <c r="Q91" s="178"/>
      <c r="R91" s="178"/>
      <c r="S91" s="178"/>
      <c r="T91" s="178"/>
      <c r="U91" s="178"/>
      <c r="V91" s="178"/>
      <c r="W91" s="178"/>
      <c r="X91" s="178"/>
      <c r="Y91" s="178"/>
      <c r="Z91" s="178"/>
    </row>
    <row r="92" spans="1:26" ht="17.25" customHeight="1">
      <c r="A92" s="178"/>
      <c r="B92" s="178"/>
      <c r="C92" s="178"/>
      <c r="D92" s="178"/>
      <c r="E92" s="178"/>
      <c r="F92" s="178"/>
      <c r="G92" s="178"/>
      <c r="H92" s="178"/>
      <c r="I92" s="178"/>
      <c r="J92" s="178"/>
      <c r="K92" s="178"/>
      <c r="L92" s="178"/>
      <c r="M92" s="178"/>
      <c r="N92" s="178"/>
      <c r="O92" s="178"/>
      <c r="P92" s="178"/>
      <c r="Q92" s="178"/>
      <c r="R92" s="178"/>
      <c r="S92" s="178"/>
      <c r="T92" s="178"/>
      <c r="U92" s="178"/>
      <c r="V92" s="178"/>
      <c r="W92" s="178"/>
      <c r="X92" s="178"/>
      <c r="Y92" s="178"/>
      <c r="Z92" s="178"/>
    </row>
    <row r="93" spans="1:26" ht="17.25" customHeight="1">
      <c r="A93" s="178"/>
      <c r="B93" s="178"/>
      <c r="C93" s="178"/>
      <c r="D93" s="178"/>
      <c r="E93" s="178"/>
      <c r="F93" s="178"/>
      <c r="G93" s="178"/>
      <c r="H93" s="178"/>
      <c r="I93" s="178"/>
      <c r="J93" s="178"/>
      <c r="K93" s="178"/>
      <c r="L93" s="178"/>
      <c r="M93" s="178"/>
      <c r="N93" s="178"/>
      <c r="O93" s="178"/>
      <c r="P93" s="178"/>
      <c r="Q93" s="178"/>
      <c r="R93" s="178"/>
      <c r="S93" s="178"/>
      <c r="T93" s="178"/>
      <c r="U93" s="178"/>
      <c r="V93" s="178"/>
      <c r="W93" s="178"/>
      <c r="X93" s="178"/>
      <c r="Y93" s="178"/>
      <c r="Z93" s="178"/>
    </row>
    <row r="94" spans="1:26" ht="17.25" customHeight="1">
      <c r="A94" s="178"/>
      <c r="B94" s="178"/>
      <c r="C94" s="178"/>
      <c r="D94" s="178"/>
      <c r="E94" s="178"/>
      <c r="F94" s="178"/>
      <c r="G94" s="178"/>
      <c r="H94" s="178"/>
      <c r="I94" s="178"/>
      <c r="J94" s="178"/>
      <c r="K94" s="178"/>
      <c r="L94" s="178"/>
      <c r="M94" s="178"/>
      <c r="N94" s="178"/>
      <c r="O94" s="178"/>
      <c r="P94" s="178"/>
      <c r="Q94" s="178"/>
      <c r="R94" s="178"/>
      <c r="S94" s="178"/>
      <c r="T94" s="178"/>
      <c r="U94" s="178"/>
      <c r="V94" s="178"/>
      <c r="W94" s="178"/>
      <c r="X94" s="178"/>
      <c r="Y94" s="178"/>
      <c r="Z94" s="178"/>
    </row>
    <row r="95" spans="1:26" ht="17.25" customHeight="1">
      <c r="A95" s="178"/>
      <c r="B95" s="178"/>
      <c r="C95" s="178"/>
      <c r="D95" s="178"/>
      <c r="E95" s="178"/>
      <c r="F95" s="178"/>
      <c r="G95" s="178"/>
      <c r="H95" s="178"/>
      <c r="I95" s="178"/>
      <c r="J95" s="178"/>
      <c r="K95" s="178"/>
      <c r="L95" s="178"/>
      <c r="M95" s="178"/>
      <c r="N95" s="178"/>
      <c r="O95" s="178"/>
      <c r="P95" s="178"/>
      <c r="Q95" s="178"/>
      <c r="R95" s="178"/>
      <c r="S95" s="178"/>
      <c r="T95" s="178"/>
      <c r="U95" s="178"/>
      <c r="V95" s="178"/>
      <c r="W95" s="178"/>
      <c r="X95" s="178"/>
      <c r="Y95" s="178"/>
      <c r="Z95" s="178"/>
    </row>
    <row r="96" spans="1:26" ht="17.25" customHeight="1">
      <c r="A96" s="178"/>
      <c r="B96" s="178"/>
      <c r="C96" s="178"/>
      <c r="D96" s="178"/>
      <c r="E96" s="178"/>
      <c r="F96" s="178"/>
      <c r="G96" s="178"/>
      <c r="H96" s="178"/>
      <c r="I96" s="178"/>
      <c r="J96" s="178"/>
      <c r="K96" s="178"/>
      <c r="L96" s="178"/>
      <c r="M96" s="178"/>
      <c r="N96" s="178"/>
      <c r="O96" s="178"/>
      <c r="P96" s="178"/>
      <c r="Q96" s="178"/>
      <c r="R96" s="178"/>
      <c r="S96" s="178"/>
      <c r="T96" s="178"/>
      <c r="U96" s="178"/>
      <c r="V96" s="178"/>
      <c r="W96" s="178"/>
      <c r="X96" s="178"/>
      <c r="Y96" s="178"/>
      <c r="Z96" s="178"/>
    </row>
    <row r="97" spans="1:26" ht="17.25" customHeight="1">
      <c r="A97" s="178"/>
      <c r="B97" s="178"/>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row>
    <row r="98" spans="1:26" ht="17.25" customHeight="1">
      <c r="A98" s="178"/>
      <c r="B98" s="178"/>
      <c r="C98" s="178"/>
      <c r="D98" s="178"/>
      <c r="E98" s="178"/>
      <c r="F98" s="178"/>
      <c r="G98" s="178"/>
      <c r="H98" s="178"/>
      <c r="I98" s="178"/>
      <c r="J98" s="178"/>
      <c r="K98" s="178"/>
      <c r="L98" s="178"/>
      <c r="M98" s="178"/>
      <c r="N98" s="178"/>
      <c r="O98" s="178"/>
      <c r="P98" s="178"/>
      <c r="Q98" s="178"/>
      <c r="R98" s="178"/>
      <c r="S98" s="178"/>
      <c r="T98" s="178"/>
      <c r="U98" s="178"/>
      <c r="V98" s="178"/>
      <c r="W98" s="178"/>
      <c r="X98" s="178"/>
      <c r="Y98" s="178"/>
      <c r="Z98" s="178"/>
    </row>
    <row r="99" spans="1:26" ht="17.25" customHeight="1">
      <c r="A99" s="178"/>
      <c r="B99" s="178"/>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row>
    <row r="100" spans="1:26" ht="17.25" customHeight="1">
      <c r="A100" s="178"/>
      <c r="B100" s="178"/>
      <c r="C100" s="178"/>
      <c r="D100" s="178"/>
      <c r="E100" s="178"/>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7.25" customHeight="1">
      <c r="A101" s="178"/>
      <c r="B101" s="178"/>
      <c r="C101" s="178"/>
      <c r="D101" s="178"/>
      <c r="E101" s="178"/>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7.25" customHeight="1">
      <c r="A102" s="178"/>
      <c r="B102" s="178"/>
      <c r="C102" s="178"/>
      <c r="D102" s="178"/>
      <c r="E102" s="178"/>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7.25" customHeight="1">
      <c r="A103" s="178"/>
      <c r="B103" s="178"/>
      <c r="C103" s="178"/>
      <c r="D103" s="178"/>
      <c r="E103" s="178"/>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7.25" customHeight="1">
      <c r="A104" s="178"/>
      <c r="B104" s="178"/>
      <c r="C104" s="178"/>
      <c r="D104" s="178"/>
      <c r="E104" s="178"/>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7.25" customHeight="1">
      <c r="A105" s="178"/>
      <c r="B105" s="178"/>
      <c r="C105" s="178"/>
      <c r="D105" s="178"/>
      <c r="E105" s="178"/>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spans="1:26" ht="17.25" customHeight="1">
      <c r="A106" s="178"/>
      <c r="B106" s="178"/>
      <c r="C106" s="178"/>
      <c r="D106" s="178"/>
      <c r="E106" s="178"/>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7.25" customHeight="1">
      <c r="A107" s="178"/>
      <c r="B107" s="178"/>
      <c r="C107" s="178"/>
      <c r="D107" s="178"/>
      <c r="E107" s="178"/>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7.25" customHeight="1">
      <c r="A108" s="178"/>
      <c r="B108" s="178"/>
      <c r="C108" s="178"/>
      <c r="D108" s="178"/>
      <c r="E108" s="178"/>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7.25" customHeight="1">
      <c r="A109" s="178"/>
      <c r="B109" s="178"/>
      <c r="C109" s="178"/>
      <c r="D109" s="178"/>
      <c r="E109" s="178"/>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7.25" customHeight="1">
      <c r="A110" s="178"/>
      <c r="B110" s="178"/>
      <c r="C110" s="178"/>
      <c r="D110" s="178"/>
      <c r="E110" s="178"/>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7.25" customHeight="1">
      <c r="A111" s="178"/>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7.25" customHeight="1">
      <c r="A112" s="178"/>
      <c r="B112" s="178"/>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7.25" customHeight="1">
      <c r="A113" s="178"/>
      <c r="B113" s="178"/>
      <c r="C113" s="178"/>
      <c r="D113" s="178"/>
      <c r="E113" s="178"/>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7.25" customHeight="1">
      <c r="A114" s="178"/>
      <c r="B114" s="178"/>
      <c r="C114" s="178"/>
      <c r="D114" s="178"/>
      <c r="E114" s="178"/>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7.25" customHeight="1">
      <c r="A115" s="178"/>
      <c r="B115" s="178"/>
      <c r="C115" s="178"/>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spans="1:26" ht="17.25" customHeight="1">
      <c r="A116" s="178"/>
      <c r="B116" s="178"/>
      <c r="C116" s="178"/>
      <c r="D116" s="178"/>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7.25" customHeight="1">
      <c r="A117" s="178"/>
      <c r="B117" s="178"/>
      <c r="C117" s="178"/>
      <c r="D117" s="178"/>
      <c r="E117" s="178"/>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spans="1:26" ht="17.25" customHeight="1">
      <c r="A118" s="178"/>
      <c r="B118" s="178"/>
      <c r="C118" s="178"/>
      <c r="D118" s="178"/>
      <c r="E118" s="178"/>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spans="1:26" ht="17.25" customHeight="1">
      <c r="A119" s="178"/>
      <c r="B119" s="178"/>
      <c r="C119" s="178"/>
      <c r="D119" s="178"/>
      <c r="E119" s="178"/>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spans="1:26" ht="17.25" customHeight="1">
      <c r="A120" s="178"/>
      <c r="B120" s="178"/>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spans="1:26" ht="17.25" customHeight="1">
      <c r="A121" s="178"/>
      <c r="B121" s="178"/>
      <c r="C121" s="178"/>
      <c r="D121" s="178"/>
      <c r="E121" s="178"/>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spans="1:26" ht="17.25" customHeight="1">
      <c r="A122" s="178"/>
      <c r="B122" s="178"/>
      <c r="C122" s="178"/>
      <c r="D122" s="178"/>
      <c r="E122" s="178"/>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spans="1:26" ht="17.25" customHeight="1">
      <c r="A123" s="178"/>
      <c r="B123" s="178"/>
      <c r="C123" s="178"/>
      <c r="D123" s="178"/>
      <c r="E123" s="178"/>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spans="1:26" ht="17.25" customHeight="1">
      <c r="A124" s="178"/>
      <c r="B124" s="178"/>
      <c r="C124" s="178"/>
      <c r="D124" s="178"/>
      <c r="E124" s="178"/>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7.25" customHeight="1">
      <c r="A125" s="178"/>
      <c r="B125" s="178"/>
      <c r="C125" s="178"/>
      <c r="D125" s="178"/>
      <c r="E125" s="178"/>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spans="1:26" ht="17.25" customHeight="1">
      <c r="A126" s="178"/>
      <c r="B126" s="178"/>
      <c r="C126" s="178"/>
      <c r="D126" s="178"/>
      <c r="E126" s="178"/>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spans="1:26" ht="17.25" customHeight="1">
      <c r="A127" s="178"/>
      <c r="B127" s="178"/>
      <c r="C127" s="178"/>
      <c r="D127" s="178"/>
      <c r="E127" s="178"/>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7.25" customHeight="1">
      <c r="A128" s="178"/>
      <c r="B128" s="178"/>
      <c r="C128" s="178"/>
      <c r="D128" s="178"/>
      <c r="E128" s="178"/>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7.25" customHeight="1">
      <c r="A129" s="178"/>
      <c r="B129" s="178"/>
      <c r="C129" s="178"/>
      <c r="D129" s="178"/>
      <c r="E129" s="178"/>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7.25" customHeight="1">
      <c r="A130" s="178"/>
      <c r="B130" s="178"/>
      <c r="C130" s="178"/>
      <c r="D130" s="178"/>
      <c r="E130" s="178"/>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7.25" customHeight="1">
      <c r="A131" s="178"/>
      <c r="B131" s="178"/>
      <c r="C131" s="178"/>
      <c r="D131" s="178"/>
      <c r="E131" s="178"/>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7.25" customHeight="1">
      <c r="A132" s="178"/>
      <c r="B132" s="178"/>
      <c r="C132" s="178"/>
      <c r="D132" s="178"/>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7.25" customHeight="1">
      <c r="A133" s="178"/>
      <c r="B133" s="178"/>
      <c r="C133" s="178"/>
      <c r="D133" s="178"/>
      <c r="E133" s="178"/>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7.25" customHeight="1">
      <c r="A134" s="178"/>
      <c r="B134" s="178"/>
      <c r="C134" s="178"/>
      <c r="D134" s="178"/>
      <c r="E134" s="178"/>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spans="1:26" ht="17.25" customHeight="1">
      <c r="A135" s="178"/>
      <c r="B135" s="178"/>
      <c r="C135" s="178"/>
      <c r="D135" s="178"/>
      <c r="E135" s="178"/>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7.25" customHeight="1">
      <c r="A136" s="178"/>
      <c r="B136" s="178"/>
      <c r="C136" s="178"/>
      <c r="D136" s="178"/>
      <c r="E136" s="178"/>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7.25" customHeight="1">
      <c r="A137" s="178"/>
      <c r="B137" s="178"/>
      <c r="C137" s="178"/>
      <c r="D137" s="178"/>
      <c r="E137" s="178"/>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7.25" customHeight="1">
      <c r="A138" s="178"/>
      <c r="B138" s="178"/>
      <c r="C138" s="178"/>
      <c r="D138" s="178"/>
      <c r="E138" s="178"/>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7.25" customHeight="1">
      <c r="A139" s="178"/>
      <c r="B139" s="178"/>
      <c r="C139" s="178"/>
      <c r="D139" s="178"/>
      <c r="E139" s="178"/>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spans="1:26" ht="17.25" customHeight="1">
      <c r="A140" s="178"/>
      <c r="B140" s="178"/>
      <c r="C140" s="178"/>
      <c r="D140" s="178"/>
      <c r="E140" s="178"/>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7.25" customHeight="1">
      <c r="A141" s="178"/>
      <c r="B141" s="178"/>
      <c r="C141" s="178"/>
      <c r="D141" s="178"/>
      <c r="E141" s="178"/>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spans="1:26" ht="17.25" customHeight="1">
      <c r="A142" s="178"/>
      <c r="B142" s="178"/>
      <c r="C142" s="178"/>
      <c r="D142" s="178"/>
      <c r="E142" s="178"/>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7.25" customHeight="1">
      <c r="A143" s="178"/>
      <c r="B143" s="178"/>
      <c r="C143" s="178"/>
      <c r="D143" s="178"/>
      <c r="E143" s="178"/>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spans="1:26" ht="17.25" customHeight="1">
      <c r="A144" s="178"/>
      <c r="B144" s="178"/>
      <c r="C144" s="178"/>
      <c r="D144" s="178"/>
      <c r="E144" s="178"/>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7.25" customHeight="1">
      <c r="A145" s="178"/>
      <c r="B145" s="178"/>
      <c r="C145" s="178"/>
      <c r="D145" s="178"/>
      <c r="E145" s="178"/>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spans="1:26" ht="17.25" customHeight="1">
      <c r="A146" s="178"/>
      <c r="B146" s="178"/>
      <c r="C146" s="178"/>
      <c r="D146" s="178"/>
      <c r="E146" s="178"/>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7.25" customHeight="1">
      <c r="A147" s="178"/>
      <c r="B147" s="178"/>
      <c r="C147" s="178"/>
      <c r="D147" s="178"/>
      <c r="E147" s="178"/>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spans="1:26" ht="17.25" customHeight="1">
      <c r="A148" s="178"/>
      <c r="B148" s="178"/>
      <c r="C148" s="178"/>
      <c r="D148" s="178"/>
      <c r="E148" s="178"/>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7.25" customHeight="1">
      <c r="A149" s="178"/>
      <c r="B149" s="178"/>
      <c r="C149" s="178"/>
      <c r="D149" s="178"/>
      <c r="E149" s="178"/>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7.25" customHeight="1">
      <c r="A150" s="178"/>
      <c r="B150" s="178"/>
      <c r="C150" s="178"/>
      <c r="D150" s="178"/>
      <c r="E150" s="178"/>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7.25" customHeight="1">
      <c r="A151" s="178"/>
      <c r="B151" s="178"/>
      <c r="C151" s="178"/>
      <c r="D151" s="178"/>
      <c r="E151" s="178"/>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7.25" customHeight="1">
      <c r="A152" s="178"/>
      <c r="B152" s="178"/>
      <c r="C152" s="178"/>
      <c r="D152" s="178"/>
      <c r="E152" s="178"/>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spans="1:26" ht="17.25" customHeight="1">
      <c r="A153" s="178"/>
      <c r="B153" s="178"/>
      <c r="C153" s="178"/>
      <c r="D153" s="178"/>
      <c r="E153" s="178"/>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spans="1:26" ht="17.25" customHeight="1">
      <c r="A154" s="178"/>
      <c r="B154" s="178"/>
      <c r="C154" s="178"/>
      <c r="D154" s="178"/>
      <c r="E154" s="178"/>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7.25" customHeight="1">
      <c r="A155" s="178"/>
      <c r="B155" s="178"/>
      <c r="C155" s="178"/>
      <c r="D155" s="178"/>
      <c r="E155" s="178"/>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spans="1:26" ht="17.25" customHeight="1">
      <c r="A156" s="178"/>
      <c r="B156" s="178"/>
      <c r="C156" s="178"/>
      <c r="D156" s="178"/>
      <c r="E156" s="178"/>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spans="1:26" ht="17.25" customHeight="1">
      <c r="A157" s="178"/>
      <c r="B157" s="178"/>
      <c r="C157" s="178"/>
      <c r="D157" s="178"/>
      <c r="E157" s="178"/>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spans="1:26" ht="17.25" customHeight="1">
      <c r="A158" s="178"/>
      <c r="B158" s="178"/>
      <c r="C158" s="178"/>
      <c r="D158" s="178"/>
      <c r="E158" s="178"/>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spans="1:26" ht="17.25" customHeight="1">
      <c r="A159" s="178"/>
      <c r="B159" s="178"/>
      <c r="C159" s="178"/>
      <c r="D159" s="178"/>
      <c r="E159" s="178"/>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spans="1:26" ht="17.25" customHeight="1">
      <c r="A160" s="178"/>
      <c r="B160" s="178"/>
      <c r="C160" s="178"/>
      <c r="D160" s="178"/>
      <c r="E160" s="178"/>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spans="1:26" ht="17.25" customHeight="1">
      <c r="A161" s="178"/>
      <c r="B161" s="178"/>
      <c r="C161" s="178"/>
      <c r="D161" s="178"/>
      <c r="E161" s="178"/>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spans="1:26" ht="17.25" customHeight="1">
      <c r="A162" s="178"/>
      <c r="B162" s="178"/>
      <c r="C162" s="178"/>
      <c r="D162" s="178"/>
      <c r="E162" s="178"/>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7.25" customHeight="1">
      <c r="A163" s="178"/>
      <c r="B163" s="178"/>
      <c r="C163" s="178"/>
      <c r="D163" s="178"/>
      <c r="E163" s="178"/>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7.25" customHeight="1">
      <c r="A164" s="178"/>
      <c r="B164" s="178"/>
      <c r="C164" s="178"/>
      <c r="D164" s="178"/>
      <c r="E164" s="178"/>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7.25" customHeight="1">
      <c r="A165" s="178"/>
      <c r="B165" s="178"/>
      <c r="C165" s="178"/>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7.25" customHeight="1">
      <c r="A166" s="178"/>
      <c r="B166" s="178"/>
      <c r="C166" s="178"/>
      <c r="D166" s="178"/>
      <c r="E166" s="178"/>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7.25" customHeight="1">
      <c r="A167" s="178"/>
      <c r="B167" s="178"/>
      <c r="C167" s="178"/>
      <c r="D167" s="178"/>
      <c r="E167" s="178"/>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spans="1:26" ht="17.25" customHeight="1">
      <c r="A168" s="178"/>
      <c r="B168" s="178"/>
      <c r="C168" s="178"/>
      <c r="D168" s="178"/>
      <c r="E168" s="178"/>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spans="1:26" ht="17.25" customHeight="1">
      <c r="A169" s="178"/>
      <c r="B169" s="178"/>
      <c r="C169" s="178"/>
      <c r="D169" s="178"/>
      <c r="E169" s="178"/>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spans="1:26" ht="17.25" customHeight="1">
      <c r="A170" s="178"/>
      <c r="B170" s="178"/>
      <c r="C170" s="178"/>
      <c r="D170" s="178"/>
      <c r="E170" s="178"/>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spans="1:26" ht="17.25" customHeight="1">
      <c r="A171" s="178"/>
      <c r="B171" s="178"/>
      <c r="C171" s="178"/>
      <c r="D171" s="178"/>
      <c r="E171" s="178"/>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spans="1:26" ht="17.25" customHeight="1">
      <c r="A172" s="178"/>
      <c r="B172" s="178"/>
      <c r="C172" s="178"/>
      <c r="D172" s="178"/>
      <c r="E172" s="178"/>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spans="1:26" ht="17.25" customHeight="1">
      <c r="A173" s="178"/>
      <c r="B173" s="178"/>
      <c r="C173" s="178"/>
      <c r="D173" s="178"/>
      <c r="E173" s="178"/>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spans="1:26" ht="17.25" customHeight="1">
      <c r="A174" s="178"/>
      <c r="B174" s="178"/>
      <c r="C174" s="178"/>
      <c r="D174" s="178"/>
      <c r="E174" s="178"/>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spans="1:26" ht="17.25" customHeight="1">
      <c r="A175" s="178"/>
      <c r="B175" s="178"/>
      <c r="C175" s="178"/>
      <c r="D175" s="178"/>
      <c r="E175" s="178"/>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7.25" customHeight="1">
      <c r="A176" s="178"/>
      <c r="B176" s="178"/>
      <c r="C176" s="178"/>
      <c r="D176" s="178"/>
      <c r="E176" s="178"/>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7.25" customHeight="1">
      <c r="A177" s="178"/>
      <c r="B177" s="178"/>
      <c r="C177" s="178"/>
      <c r="D177" s="178"/>
      <c r="E177" s="178"/>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7.25" customHeight="1">
      <c r="A178" s="178"/>
      <c r="B178" s="178"/>
      <c r="C178" s="178"/>
      <c r="D178" s="178"/>
      <c r="E178" s="178"/>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spans="1:26" ht="17.25" customHeight="1">
      <c r="A179" s="178"/>
      <c r="B179" s="178"/>
      <c r="C179" s="178"/>
      <c r="D179" s="178"/>
      <c r="E179" s="178"/>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7.25" customHeight="1">
      <c r="A180" s="178"/>
      <c r="B180" s="178"/>
      <c r="C180" s="178"/>
      <c r="D180" s="178"/>
      <c r="E180" s="178"/>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7.25" customHeight="1">
      <c r="A181" s="178"/>
      <c r="B181" s="178"/>
      <c r="C181" s="178"/>
      <c r="D181" s="178"/>
      <c r="E181" s="178"/>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7.25" customHeight="1">
      <c r="A182" s="178"/>
      <c r="B182" s="178"/>
      <c r="C182" s="178"/>
      <c r="D182" s="178"/>
      <c r="E182" s="178"/>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7.25" customHeight="1">
      <c r="A183" s="178"/>
      <c r="B183" s="178"/>
      <c r="C183" s="178"/>
      <c r="D183" s="178"/>
      <c r="E183" s="178"/>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7.25" customHeight="1">
      <c r="A184" s="178"/>
      <c r="B184" s="178"/>
      <c r="C184" s="178"/>
      <c r="D184" s="178"/>
      <c r="E184" s="178"/>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7.25" customHeight="1">
      <c r="A185" s="178"/>
      <c r="B185" s="178"/>
      <c r="C185" s="178"/>
      <c r="D185" s="178"/>
      <c r="E185" s="178"/>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7.25" customHeight="1">
      <c r="A186" s="178"/>
      <c r="B186" s="178"/>
      <c r="C186" s="178"/>
      <c r="D186" s="178"/>
      <c r="E186" s="178"/>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7.25" customHeight="1">
      <c r="A187" s="178"/>
      <c r="B187" s="178"/>
      <c r="C187" s="178"/>
      <c r="D187" s="178"/>
      <c r="E187" s="178"/>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7.25" customHeight="1">
      <c r="A188" s="178"/>
      <c r="B188" s="178"/>
      <c r="C188" s="178"/>
      <c r="D188" s="178"/>
      <c r="E188" s="178"/>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7.25" customHeight="1">
      <c r="A189" s="178"/>
      <c r="B189" s="178"/>
      <c r="C189" s="178"/>
      <c r="D189" s="178"/>
      <c r="E189" s="178"/>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spans="1:26" ht="17.25" customHeight="1">
      <c r="A190" s="178"/>
      <c r="B190" s="178"/>
      <c r="C190" s="178"/>
      <c r="D190" s="178"/>
      <c r="E190" s="178"/>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7.25" customHeight="1">
      <c r="A191" s="178"/>
      <c r="B191" s="178"/>
      <c r="C191" s="178"/>
      <c r="D191" s="178"/>
      <c r="E191" s="178"/>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7.25" customHeight="1">
      <c r="A192" s="178"/>
      <c r="B192" s="178"/>
      <c r="C192" s="178"/>
      <c r="D192" s="178"/>
      <c r="E192" s="178"/>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7.25" customHeight="1">
      <c r="A193" s="178"/>
      <c r="B193" s="178"/>
      <c r="C193" s="178"/>
      <c r="D193" s="178"/>
      <c r="E193" s="178"/>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spans="1:26" ht="17.25" customHeight="1">
      <c r="A194" s="178"/>
      <c r="B194" s="178"/>
      <c r="C194" s="178"/>
      <c r="D194" s="178"/>
      <c r="E194" s="178"/>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7.25" customHeight="1">
      <c r="A195" s="178"/>
      <c r="B195" s="178"/>
      <c r="C195" s="178"/>
      <c r="D195" s="178"/>
      <c r="E195" s="178"/>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spans="1:26" ht="17.25" customHeight="1">
      <c r="A196" s="178"/>
      <c r="B196" s="178"/>
      <c r="C196" s="178"/>
      <c r="D196" s="178"/>
      <c r="E196" s="178"/>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7.25" customHeight="1">
      <c r="A197" s="178"/>
      <c r="B197" s="178"/>
      <c r="C197" s="178"/>
      <c r="D197" s="178"/>
      <c r="E197" s="178"/>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spans="1:26" ht="17.25" customHeight="1">
      <c r="A198" s="178"/>
      <c r="B198" s="178"/>
      <c r="C198" s="178"/>
      <c r="D198" s="178"/>
      <c r="E198" s="178"/>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spans="1:26" ht="17.25" customHeight="1">
      <c r="A199" s="178"/>
      <c r="B199" s="178"/>
      <c r="C199" s="178"/>
      <c r="D199" s="178"/>
      <c r="E199" s="178"/>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spans="1:26" ht="17.25" customHeight="1">
      <c r="A200" s="178"/>
      <c r="B200" s="178"/>
      <c r="C200" s="178"/>
      <c r="D200" s="178"/>
      <c r="E200" s="178"/>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7.25" customHeight="1">
      <c r="A201" s="178"/>
      <c r="B201" s="178"/>
      <c r="C201" s="178"/>
      <c r="D201" s="178"/>
      <c r="E201" s="178"/>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spans="1:26" ht="17.25" customHeight="1">
      <c r="A202" s="178"/>
      <c r="B202" s="178"/>
      <c r="C202" s="178"/>
      <c r="D202" s="178"/>
      <c r="E202" s="178"/>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7.25" customHeight="1">
      <c r="A203" s="178"/>
      <c r="B203" s="178"/>
      <c r="C203" s="178"/>
      <c r="D203" s="178"/>
      <c r="E203" s="178"/>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7.25" customHeight="1">
      <c r="A204" s="178"/>
      <c r="B204" s="178"/>
      <c r="C204" s="178"/>
      <c r="D204" s="178"/>
      <c r="E204" s="178"/>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spans="1:26" ht="17.25" customHeight="1">
      <c r="A205" s="178"/>
      <c r="B205" s="178"/>
      <c r="C205" s="178"/>
      <c r="D205" s="178"/>
      <c r="E205" s="178"/>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7.25" customHeight="1">
      <c r="A206" s="178"/>
      <c r="B206" s="178"/>
      <c r="C206" s="178"/>
      <c r="D206" s="178"/>
      <c r="E206" s="178"/>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7.25" customHeight="1">
      <c r="A207" s="178"/>
      <c r="B207" s="178"/>
      <c r="C207" s="178"/>
      <c r="D207" s="178"/>
      <c r="E207" s="178"/>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spans="1:26" ht="17.25" customHeight="1">
      <c r="A208" s="178"/>
      <c r="B208" s="178"/>
      <c r="C208" s="178"/>
      <c r="D208" s="178"/>
      <c r="E208" s="178"/>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7.25" customHeight="1">
      <c r="A209" s="178"/>
      <c r="B209" s="178"/>
      <c r="C209" s="178"/>
      <c r="D209" s="178"/>
      <c r="E209" s="178"/>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7.25" customHeight="1">
      <c r="A210" s="178"/>
      <c r="B210" s="178"/>
      <c r="C210" s="178"/>
      <c r="D210" s="178"/>
      <c r="E210" s="178"/>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spans="1:26" ht="17.25" customHeight="1">
      <c r="A211" s="178"/>
      <c r="B211" s="178"/>
      <c r="C211" s="178"/>
      <c r="D211" s="178"/>
      <c r="E211" s="178"/>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7.25" customHeight="1">
      <c r="A212" s="178"/>
      <c r="B212" s="178"/>
      <c r="C212" s="178"/>
      <c r="D212" s="178"/>
      <c r="E212" s="178"/>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7.25" customHeight="1">
      <c r="A213" s="178"/>
      <c r="B213" s="178"/>
      <c r="C213" s="178"/>
      <c r="D213" s="178"/>
      <c r="E213" s="178"/>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spans="1:26" ht="17.25" customHeight="1">
      <c r="A214" s="178"/>
      <c r="B214" s="178"/>
      <c r="C214" s="178"/>
      <c r="D214" s="178"/>
      <c r="E214" s="178"/>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7.25" customHeight="1">
      <c r="A215" s="178"/>
      <c r="B215" s="178"/>
      <c r="C215" s="178"/>
      <c r="D215" s="178"/>
      <c r="E215" s="178"/>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7.25" customHeight="1">
      <c r="A216" s="178"/>
      <c r="B216" s="178"/>
      <c r="C216" s="178"/>
      <c r="D216" s="178"/>
      <c r="E216" s="178"/>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spans="1:26" ht="17.25" customHeight="1">
      <c r="A217" s="178"/>
      <c r="B217" s="178"/>
      <c r="C217" s="178"/>
      <c r="D217" s="178"/>
      <c r="E217" s="178"/>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7.25" customHeight="1">
      <c r="A218" s="178"/>
      <c r="B218" s="178"/>
      <c r="C218" s="178"/>
      <c r="D218" s="178"/>
      <c r="E218" s="178"/>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7.25" customHeight="1">
      <c r="A219" s="178"/>
      <c r="B219" s="178"/>
      <c r="C219" s="178"/>
      <c r="D219" s="178"/>
      <c r="E219" s="178"/>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7.25" customHeight="1">
      <c r="A220" s="178"/>
      <c r="B220" s="178"/>
      <c r="C220" s="178"/>
      <c r="D220" s="178"/>
      <c r="E220" s="178"/>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7.25" customHeight="1">
      <c r="A221" s="178"/>
      <c r="B221" s="178"/>
      <c r="C221" s="178"/>
      <c r="D221" s="178"/>
      <c r="E221" s="178"/>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7.25" customHeight="1">
      <c r="A222" s="178"/>
      <c r="B222" s="178"/>
      <c r="C222" s="178"/>
      <c r="D222" s="178"/>
      <c r="E222" s="178"/>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7.25" customHeight="1">
      <c r="A223" s="178"/>
      <c r="B223" s="178"/>
      <c r="C223" s="178"/>
      <c r="D223" s="178"/>
      <c r="E223" s="178"/>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7.25" customHeight="1">
      <c r="A224" s="178"/>
      <c r="B224" s="178"/>
      <c r="C224" s="178"/>
      <c r="D224" s="178"/>
      <c r="E224" s="178"/>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7.25" customHeight="1">
      <c r="A225" s="178"/>
      <c r="B225" s="178"/>
      <c r="C225" s="178"/>
      <c r="D225" s="178"/>
      <c r="E225" s="178"/>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spans="1:26" ht="17.25" customHeight="1">
      <c r="A226" s="178"/>
      <c r="B226" s="178"/>
      <c r="C226" s="178"/>
      <c r="D226" s="178"/>
      <c r="E226" s="178"/>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7.25" customHeight="1">
      <c r="A227" s="178"/>
      <c r="B227" s="178"/>
      <c r="C227" s="178"/>
      <c r="D227" s="178"/>
      <c r="E227" s="178"/>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7.25" customHeight="1">
      <c r="A228" s="178"/>
      <c r="B228" s="178"/>
      <c r="C228" s="178"/>
      <c r="D228" s="178"/>
      <c r="E228" s="178"/>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7.25" customHeight="1">
      <c r="A229" s="178"/>
      <c r="B229" s="178"/>
      <c r="C229" s="178"/>
      <c r="D229" s="178"/>
      <c r="E229" s="178"/>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7.25" customHeight="1">
      <c r="A230" s="178"/>
      <c r="B230" s="178"/>
      <c r="C230" s="178"/>
      <c r="D230" s="178"/>
      <c r="E230" s="178"/>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7.25" customHeight="1">
      <c r="A231" s="178"/>
      <c r="B231" s="178"/>
      <c r="C231" s="178"/>
      <c r="D231" s="178"/>
      <c r="E231" s="178"/>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7.25" customHeight="1">
      <c r="A232" s="178"/>
      <c r="B232" s="178"/>
      <c r="C232" s="178"/>
      <c r="D232" s="178"/>
      <c r="E232" s="178"/>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7.25" customHeight="1">
      <c r="A233" s="178"/>
      <c r="B233" s="178"/>
      <c r="C233" s="178"/>
      <c r="D233" s="178"/>
      <c r="E233" s="178"/>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7.25" customHeight="1">
      <c r="A234" s="178"/>
      <c r="B234" s="178"/>
      <c r="C234" s="178"/>
      <c r="D234" s="178"/>
      <c r="E234" s="178"/>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spans="1:26" ht="17.25" customHeight="1">
      <c r="A235" s="178"/>
      <c r="B235" s="178"/>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1:26" ht="17.25" customHeight="1">
      <c r="A236" s="178"/>
      <c r="B236" s="178"/>
      <c r="C236" s="178"/>
      <c r="D236" s="178"/>
      <c r="E236" s="178"/>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7.25" customHeight="1">
      <c r="A237" s="178"/>
      <c r="B237" s="178"/>
      <c r="C237" s="178"/>
      <c r="D237" s="178"/>
      <c r="E237" s="178"/>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spans="1:26" ht="17.25" customHeight="1">
      <c r="A238" s="178"/>
      <c r="B238" s="178"/>
      <c r="C238" s="178"/>
      <c r="D238" s="178"/>
      <c r="E238" s="178"/>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7.25" customHeight="1">
      <c r="A239" s="178"/>
      <c r="B239" s="178"/>
      <c r="C239" s="178"/>
      <c r="D239" s="178"/>
      <c r="E239" s="178"/>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7.25" customHeight="1">
      <c r="A240" s="178"/>
      <c r="B240" s="178"/>
      <c r="C240" s="178"/>
      <c r="D240" s="178"/>
      <c r="E240" s="178"/>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7.25" customHeight="1">
      <c r="A241" s="178"/>
      <c r="B241" s="178"/>
      <c r="C241" s="178"/>
      <c r="D241" s="178"/>
      <c r="E241" s="178"/>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7.25" customHeight="1">
      <c r="A242" s="178"/>
      <c r="B242" s="178"/>
      <c r="C242" s="178"/>
      <c r="D242" s="178"/>
      <c r="E242" s="178"/>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7.25" customHeight="1">
      <c r="A243" s="178"/>
      <c r="B243" s="178"/>
      <c r="C243" s="178"/>
      <c r="D243" s="178"/>
      <c r="E243" s="178"/>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7.25" customHeight="1">
      <c r="A244" s="178"/>
      <c r="B244" s="178"/>
      <c r="C244" s="178"/>
      <c r="D244" s="178"/>
      <c r="E244" s="178"/>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7.25" customHeight="1">
      <c r="A245" s="178"/>
      <c r="B245" s="178"/>
      <c r="C245" s="178"/>
      <c r="D245" s="178"/>
      <c r="E245" s="178"/>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7.25" customHeight="1">
      <c r="A246" s="178"/>
      <c r="B246" s="178"/>
      <c r="C246" s="178"/>
      <c r="D246" s="178"/>
      <c r="E246" s="178"/>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7.25" customHeight="1">
      <c r="A247" s="178"/>
      <c r="B247" s="178"/>
      <c r="C247" s="178"/>
      <c r="D247" s="178"/>
      <c r="E247" s="178"/>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7.25" customHeight="1">
      <c r="A248" s="178"/>
      <c r="B248" s="178"/>
      <c r="C248" s="178"/>
      <c r="D248" s="178"/>
      <c r="E248" s="178"/>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7.25" customHeight="1">
      <c r="A249" s="178"/>
      <c r="B249" s="178"/>
      <c r="C249" s="178"/>
      <c r="D249" s="178"/>
      <c r="E249" s="178"/>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7.25" customHeight="1">
      <c r="A250" s="178"/>
      <c r="B250" s="178"/>
      <c r="C250" s="178"/>
      <c r="D250" s="178"/>
      <c r="E250" s="178"/>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7.25" customHeight="1">
      <c r="A251" s="178"/>
      <c r="B251" s="178"/>
      <c r="C251" s="178"/>
      <c r="D251" s="178"/>
      <c r="E251" s="178"/>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7.25" customHeight="1">
      <c r="A252" s="178"/>
      <c r="B252" s="178"/>
      <c r="C252" s="178"/>
      <c r="D252" s="178"/>
      <c r="E252" s="178"/>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7.25" customHeight="1">
      <c r="A253" s="178"/>
      <c r="B253" s="178"/>
      <c r="C253" s="178"/>
      <c r="D253" s="178"/>
      <c r="E253" s="178"/>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7.25" customHeight="1">
      <c r="A254" s="178"/>
      <c r="B254" s="178"/>
      <c r="C254" s="178"/>
      <c r="D254" s="178"/>
      <c r="E254" s="178"/>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7.25" customHeight="1">
      <c r="A255" s="178"/>
      <c r="B255" s="178"/>
      <c r="C255" s="178"/>
      <c r="D255" s="178"/>
      <c r="E255" s="178"/>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7.25" customHeight="1">
      <c r="A256" s="178"/>
      <c r="B256" s="178"/>
      <c r="C256" s="178"/>
      <c r="D256" s="178"/>
      <c r="E256" s="178"/>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7.25" customHeight="1">
      <c r="A257" s="178"/>
      <c r="B257" s="178"/>
      <c r="C257" s="178"/>
      <c r="D257" s="178"/>
      <c r="E257" s="178"/>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7.25" customHeight="1">
      <c r="A258" s="178"/>
      <c r="B258" s="178"/>
      <c r="C258" s="178"/>
      <c r="D258" s="178"/>
      <c r="E258" s="178"/>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7.25" customHeight="1">
      <c r="A259" s="178"/>
      <c r="B259" s="178"/>
      <c r="C259" s="178"/>
      <c r="D259" s="178"/>
      <c r="E259" s="178"/>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7.25" customHeight="1">
      <c r="A260" s="178"/>
      <c r="B260" s="178"/>
      <c r="C260" s="178"/>
      <c r="D260" s="178"/>
      <c r="E260" s="178"/>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7.25" customHeight="1">
      <c r="A261" s="178"/>
      <c r="B261" s="178"/>
      <c r="C261" s="178"/>
      <c r="D261" s="178"/>
      <c r="E261" s="178"/>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7.25" customHeight="1">
      <c r="A262" s="178"/>
      <c r="B262" s="178"/>
      <c r="C262" s="178"/>
      <c r="D262" s="178"/>
      <c r="E262" s="178"/>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7.25" customHeight="1">
      <c r="A263" s="178"/>
      <c r="B263" s="178"/>
      <c r="C263" s="178"/>
      <c r="D263" s="178"/>
      <c r="E263" s="178"/>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7.25" customHeight="1">
      <c r="A264" s="178"/>
      <c r="B264" s="178"/>
      <c r="C264" s="178"/>
      <c r="D264" s="178"/>
      <c r="E264" s="178"/>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7.25" customHeight="1">
      <c r="A265" s="178"/>
      <c r="B265" s="178"/>
      <c r="C265" s="178"/>
      <c r="D265" s="178"/>
      <c r="E265" s="178"/>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7.25" customHeight="1">
      <c r="A266" s="178"/>
      <c r="B266" s="178"/>
      <c r="C266" s="178"/>
      <c r="D266" s="178"/>
      <c r="E266" s="178"/>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7.25" customHeight="1">
      <c r="A267" s="178"/>
      <c r="B267" s="178"/>
      <c r="C267" s="178"/>
      <c r="D267" s="178"/>
      <c r="E267" s="178"/>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7.25" customHeight="1">
      <c r="A268" s="178"/>
      <c r="B268" s="178"/>
      <c r="C268" s="178"/>
      <c r="D268" s="178"/>
      <c r="E268" s="178"/>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7.25" customHeight="1">
      <c r="A269" s="178"/>
      <c r="B269" s="178"/>
      <c r="C269" s="178"/>
      <c r="D269" s="178"/>
      <c r="E269" s="178"/>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7.25" customHeight="1">
      <c r="A270" s="178"/>
      <c r="B270" s="178"/>
      <c r="C270" s="178"/>
      <c r="D270" s="178"/>
      <c r="E270" s="178"/>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7.25" customHeight="1">
      <c r="A271" s="178"/>
      <c r="B271" s="178"/>
      <c r="C271" s="178"/>
      <c r="D271" s="178"/>
      <c r="E271" s="178"/>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7.25" customHeight="1">
      <c r="A272" s="178"/>
      <c r="B272" s="178"/>
      <c r="C272" s="178"/>
      <c r="D272" s="178"/>
      <c r="E272" s="178"/>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7.25" customHeight="1">
      <c r="A273" s="178"/>
      <c r="B273" s="178"/>
      <c r="C273" s="178"/>
      <c r="D273" s="178"/>
      <c r="E273" s="178"/>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7.25" customHeight="1">
      <c r="A274" s="178"/>
      <c r="B274" s="178"/>
      <c r="C274" s="178"/>
      <c r="D274" s="178"/>
      <c r="E274" s="178"/>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7.25" customHeight="1">
      <c r="A275" s="178"/>
      <c r="B275" s="178"/>
      <c r="C275" s="178"/>
      <c r="D275" s="178"/>
      <c r="E275" s="178"/>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7.25" customHeight="1">
      <c r="A276" s="178"/>
      <c r="B276" s="178"/>
      <c r="C276" s="178"/>
      <c r="D276" s="178"/>
      <c r="E276" s="178"/>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7.25" customHeight="1">
      <c r="A277" s="178"/>
      <c r="B277" s="178"/>
      <c r="C277" s="178"/>
      <c r="D277" s="178"/>
      <c r="E277" s="178"/>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7.25" customHeight="1">
      <c r="A278" s="178"/>
      <c r="B278" s="178"/>
      <c r="C278" s="178"/>
      <c r="D278" s="178"/>
      <c r="E278" s="178"/>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7.25" customHeight="1">
      <c r="A279" s="178"/>
      <c r="B279" s="178"/>
      <c r="C279" s="178"/>
      <c r="D279" s="178"/>
      <c r="E279" s="178"/>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7.25" customHeight="1">
      <c r="A280" s="178"/>
      <c r="B280" s="178"/>
      <c r="C280" s="178"/>
      <c r="D280" s="178"/>
      <c r="E280" s="178"/>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7.25" customHeight="1">
      <c r="A281" s="178"/>
      <c r="B281" s="178"/>
      <c r="C281" s="178"/>
      <c r="D281" s="178"/>
      <c r="E281" s="178"/>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7.25" customHeight="1">
      <c r="A282" s="178"/>
      <c r="B282" s="178"/>
      <c r="C282" s="178"/>
      <c r="D282" s="178"/>
      <c r="E282" s="178"/>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7.25" customHeight="1">
      <c r="A283" s="178"/>
      <c r="B283" s="178"/>
      <c r="C283" s="178"/>
      <c r="D283" s="178"/>
      <c r="E283" s="178"/>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7.25" customHeight="1">
      <c r="A284" s="178"/>
      <c r="B284" s="178"/>
      <c r="C284" s="178"/>
      <c r="D284" s="178"/>
      <c r="E284" s="178"/>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7.25" customHeight="1">
      <c r="A285" s="178"/>
      <c r="B285" s="178"/>
      <c r="C285" s="178"/>
      <c r="D285" s="178"/>
      <c r="E285" s="178"/>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7.25" customHeight="1">
      <c r="A286" s="178"/>
      <c r="B286" s="178"/>
      <c r="C286" s="178"/>
      <c r="D286" s="178"/>
      <c r="E286" s="178"/>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7.25" customHeight="1">
      <c r="A287" s="178"/>
      <c r="B287" s="178"/>
      <c r="C287" s="178"/>
      <c r="D287" s="178"/>
      <c r="E287" s="178"/>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7.25" customHeight="1">
      <c r="A288" s="178"/>
      <c r="B288" s="178"/>
      <c r="C288" s="178"/>
      <c r="D288" s="178"/>
      <c r="E288" s="178"/>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7.25" customHeight="1">
      <c r="A289" s="178"/>
      <c r="B289" s="178"/>
      <c r="C289" s="178"/>
      <c r="D289" s="178"/>
      <c r="E289" s="178"/>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7.25" customHeight="1">
      <c r="A290" s="178"/>
      <c r="B290" s="178"/>
      <c r="C290" s="178"/>
      <c r="D290" s="178"/>
      <c r="E290" s="178"/>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7.25" customHeight="1">
      <c r="A291" s="178"/>
      <c r="B291" s="178"/>
      <c r="C291" s="178"/>
      <c r="D291" s="178"/>
      <c r="E291" s="178"/>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7.25" customHeight="1">
      <c r="A292" s="178"/>
      <c r="B292" s="178"/>
      <c r="C292" s="178"/>
      <c r="D292" s="178"/>
      <c r="E292" s="178"/>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7.25" customHeight="1">
      <c r="A293" s="178"/>
      <c r="B293" s="178"/>
      <c r="C293" s="178"/>
      <c r="D293" s="178"/>
      <c r="E293" s="178"/>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7.25" customHeight="1">
      <c r="A294" s="178"/>
      <c r="B294" s="178"/>
      <c r="C294" s="178"/>
      <c r="D294" s="178"/>
      <c r="E294" s="178"/>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7.25" customHeight="1">
      <c r="A295" s="178"/>
      <c r="B295" s="178"/>
      <c r="C295" s="178"/>
      <c r="D295" s="178"/>
      <c r="E295" s="178"/>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7.25" customHeight="1">
      <c r="A296" s="178"/>
      <c r="B296" s="178"/>
      <c r="C296" s="178"/>
      <c r="D296" s="178"/>
      <c r="E296" s="178"/>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7.25" customHeight="1">
      <c r="A297" s="178"/>
      <c r="B297" s="178"/>
      <c r="C297" s="178"/>
      <c r="D297" s="178"/>
      <c r="E297" s="178"/>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7.25" customHeight="1">
      <c r="A298" s="178"/>
      <c r="B298" s="178"/>
      <c r="C298" s="178"/>
      <c r="D298" s="178"/>
      <c r="E298" s="178"/>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7.25" customHeight="1">
      <c r="A299" s="178"/>
      <c r="B299" s="178"/>
      <c r="C299" s="178"/>
      <c r="D299" s="178"/>
      <c r="E299" s="178"/>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7.25" customHeight="1">
      <c r="A300" s="178"/>
      <c r="B300" s="178"/>
      <c r="C300" s="178"/>
      <c r="D300" s="178"/>
      <c r="E300" s="178"/>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7.25" customHeight="1">
      <c r="A301" s="178"/>
      <c r="B301" s="178"/>
      <c r="C301" s="178"/>
      <c r="D301" s="178"/>
      <c r="E301" s="178"/>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7.25" customHeight="1">
      <c r="A302" s="178"/>
      <c r="B302" s="178"/>
      <c r="C302" s="178"/>
      <c r="D302" s="178"/>
      <c r="E302" s="178"/>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7.25" customHeight="1">
      <c r="A303" s="178"/>
      <c r="B303" s="178"/>
      <c r="C303" s="178"/>
      <c r="D303" s="178"/>
      <c r="E303" s="178"/>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7.25" customHeight="1">
      <c r="A304" s="178"/>
      <c r="B304" s="178"/>
      <c r="C304" s="178"/>
      <c r="D304" s="178"/>
      <c r="E304" s="178"/>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7.25" customHeight="1">
      <c r="A305" s="178"/>
      <c r="B305" s="178"/>
      <c r="C305" s="178"/>
      <c r="D305" s="178"/>
      <c r="E305" s="178"/>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7.25" customHeight="1">
      <c r="A306" s="178"/>
      <c r="B306" s="178"/>
      <c r="C306" s="178"/>
      <c r="D306" s="178"/>
      <c r="E306" s="178"/>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7.25" customHeight="1">
      <c r="A307" s="178"/>
      <c r="B307" s="178"/>
      <c r="C307" s="178"/>
      <c r="D307" s="178"/>
      <c r="E307" s="178"/>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7.25" customHeight="1">
      <c r="A308" s="178"/>
      <c r="B308" s="178"/>
      <c r="C308" s="178"/>
      <c r="D308" s="178"/>
      <c r="E308" s="178"/>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7.25" customHeight="1">
      <c r="A309" s="178"/>
      <c r="B309" s="178"/>
      <c r="C309" s="178"/>
      <c r="D309" s="178"/>
      <c r="E309" s="178"/>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7.25" customHeight="1">
      <c r="A310" s="178"/>
      <c r="B310" s="178"/>
      <c r="C310" s="178"/>
      <c r="D310" s="178"/>
      <c r="E310" s="178"/>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7.25" customHeight="1">
      <c r="A311" s="178"/>
      <c r="B311" s="178"/>
      <c r="C311" s="178"/>
      <c r="D311" s="178"/>
      <c r="E311" s="178"/>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7.25" customHeight="1">
      <c r="A312" s="178"/>
      <c r="B312" s="178"/>
      <c r="C312" s="178"/>
      <c r="D312" s="178"/>
      <c r="E312" s="178"/>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7.25" customHeight="1">
      <c r="A313" s="178"/>
      <c r="B313" s="178"/>
      <c r="C313" s="178"/>
      <c r="D313" s="178"/>
      <c r="E313" s="178"/>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7.25" customHeight="1">
      <c r="A314" s="178"/>
      <c r="B314" s="178"/>
      <c r="C314" s="178"/>
      <c r="D314" s="178"/>
      <c r="E314" s="178"/>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7.25" customHeight="1">
      <c r="A315" s="178"/>
      <c r="B315" s="178"/>
      <c r="C315" s="178"/>
      <c r="D315" s="178"/>
      <c r="E315" s="178"/>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7.25" customHeight="1">
      <c r="A316" s="178"/>
      <c r="B316" s="178"/>
      <c r="C316" s="178"/>
      <c r="D316" s="178"/>
      <c r="E316" s="178"/>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7.25" customHeight="1">
      <c r="A317" s="178"/>
      <c r="B317" s="178"/>
      <c r="C317" s="178"/>
      <c r="D317" s="178"/>
      <c r="E317" s="178"/>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7.25" customHeight="1">
      <c r="A318" s="178"/>
      <c r="B318" s="178"/>
      <c r="C318" s="178"/>
      <c r="D318" s="178"/>
      <c r="E318" s="178"/>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7.25" customHeight="1">
      <c r="A319" s="178"/>
      <c r="B319" s="178"/>
      <c r="C319" s="178"/>
      <c r="D319" s="178"/>
      <c r="E319" s="178"/>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7.25" customHeight="1">
      <c r="A320" s="178"/>
      <c r="B320" s="178"/>
      <c r="C320" s="178"/>
      <c r="D320" s="178"/>
      <c r="E320" s="178"/>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7.25" customHeight="1">
      <c r="A321" s="178"/>
      <c r="B321" s="178"/>
      <c r="C321" s="178"/>
      <c r="D321" s="178"/>
      <c r="E321" s="178"/>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7.25" customHeight="1">
      <c r="A322" s="178"/>
      <c r="B322" s="178"/>
      <c r="C322" s="178"/>
      <c r="D322" s="178"/>
      <c r="E322" s="178"/>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7.25" customHeight="1">
      <c r="A323" s="178"/>
      <c r="B323" s="178"/>
      <c r="C323" s="178"/>
      <c r="D323" s="178"/>
      <c r="E323" s="178"/>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7.25" customHeight="1">
      <c r="A324" s="178"/>
      <c r="B324" s="178"/>
      <c r="C324" s="178"/>
      <c r="D324" s="178"/>
      <c r="E324" s="178"/>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7.25" customHeight="1">
      <c r="A325" s="178"/>
      <c r="B325" s="178"/>
      <c r="C325" s="178"/>
      <c r="D325" s="178"/>
      <c r="E325" s="178"/>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7.25" customHeight="1">
      <c r="A326" s="178"/>
      <c r="B326" s="178"/>
      <c r="C326" s="178"/>
      <c r="D326" s="178"/>
      <c r="E326" s="178"/>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7.25" customHeight="1">
      <c r="A327" s="178"/>
      <c r="B327" s="178"/>
      <c r="C327" s="178"/>
      <c r="D327" s="178"/>
      <c r="E327" s="178"/>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7.25" customHeight="1">
      <c r="A328" s="178"/>
      <c r="B328" s="178"/>
      <c r="C328" s="178"/>
      <c r="D328" s="178"/>
      <c r="E328" s="178"/>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7.25" customHeight="1">
      <c r="A329" s="178"/>
      <c r="B329" s="178"/>
      <c r="C329" s="178"/>
      <c r="D329" s="178"/>
      <c r="E329" s="178"/>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7.25" customHeight="1">
      <c r="A330" s="178"/>
      <c r="B330" s="178"/>
      <c r="C330" s="178"/>
      <c r="D330" s="178"/>
      <c r="E330" s="178"/>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7.25" customHeight="1">
      <c r="A331" s="178"/>
      <c r="B331" s="178"/>
      <c r="C331" s="178"/>
      <c r="D331" s="178"/>
      <c r="E331" s="178"/>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7.25" customHeight="1">
      <c r="A332" s="178"/>
      <c r="B332" s="178"/>
      <c r="C332" s="178"/>
      <c r="D332" s="178"/>
      <c r="E332" s="178"/>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7.25" customHeight="1">
      <c r="A333" s="178"/>
      <c r="B333" s="178"/>
      <c r="C333" s="178"/>
      <c r="D333" s="178"/>
      <c r="E333" s="178"/>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7.25" customHeight="1">
      <c r="A334" s="178"/>
      <c r="B334" s="178"/>
      <c r="C334" s="178"/>
      <c r="D334" s="178"/>
      <c r="E334" s="178"/>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7.25" customHeight="1">
      <c r="A335" s="178"/>
      <c r="B335" s="178"/>
      <c r="C335" s="178"/>
      <c r="D335" s="178"/>
      <c r="E335" s="178"/>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7.25" customHeight="1">
      <c r="A336" s="178"/>
      <c r="B336" s="178"/>
      <c r="C336" s="178"/>
      <c r="D336" s="178"/>
      <c r="E336" s="178"/>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7.25" customHeight="1">
      <c r="A337" s="178"/>
      <c r="B337" s="178"/>
      <c r="C337" s="178"/>
      <c r="D337" s="178"/>
      <c r="E337" s="178"/>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7.25" customHeight="1">
      <c r="A338" s="178"/>
      <c r="B338" s="178"/>
      <c r="C338" s="178"/>
      <c r="D338" s="178"/>
      <c r="E338" s="178"/>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7.25" customHeight="1">
      <c r="A339" s="178"/>
      <c r="B339" s="178"/>
      <c r="C339" s="178"/>
      <c r="D339" s="178"/>
      <c r="E339" s="178"/>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7.25" customHeight="1">
      <c r="A340" s="178"/>
      <c r="B340" s="178"/>
      <c r="C340" s="178"/>
      <c r="D340" s="178"/>
      <c r="E340" s="178"/>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7.25" customHeight="1">
      <c r="A341" s="178"/>
      <c r="B341" s="178"/>
      <c r="C341" s="178"/>
      <c r="D341" s="178"/>
      <c r="E341" s="178"/>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7.25" customHeight="1">
      <c r="A342" s="178"/>
      <c r="B342" s="178"/>
      <c r="C342" s="178"/>
      <c r="D342" s="178"/>
      <c r="E342" s="178"/>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7.25" customHeight="1">
      <c r="A343" s="178"/>
      <c r="B343" s="178"/>
      <c r="C343" s="178"/>
      <c r="D343" s="178"/>
      <c r="E343" s="178"/>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7.25" customHeight="1">
      <c r="A344" s="178"/>
      <c r="B344" s="178"/>
      <c r="C344" s="178"/>
      <c r="D344" s="178"/>
      <c r="E344" s="178"/>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7.25" customHeight="1">
      <c r="A345" s="178"/>
      <c r="B345" s="178"/>
      <c r="C345" s="178"/>
      <c r="D345" s="178"/>
      <c r="E345" s="178"/>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7.25" customHeight="1">
      <c r="A346" s="178"/>
      <c r="B346" s="178"/>
      <c r="C346" s="178"/>
      <c r="D346" s="178"/>
      <c r="E346" s="178"/>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7.25" customHeight="1">
      <c r="A347" s="178"/>
      <c r="B347" s="178"/>
      <c r="C347" s="178"/>
      <c r="D347" s="178"/>
      <c r="E347" s="178"/>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7.25" customHeight="1">
      <c r="A348" s="178"/>
      <c r="B348" s="178"/>
      <c r="C348" s="178"/>
      <c r="D348" s="178"/>
      <c r="E348" s="178"/>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7.25" customHeight="1">
      <c r="A349" s="178"/>
      <c r="B349" s="178"/>
      <c r="C349" s="178"/>
      <c r="D349" s="178"/>
      <c r="E349" s="178"/>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7.25" customHeight="1">
      <c r="A350" s="178"/>
      <c r="B350" s="178"/>
      <c r="C350" s="178"/>
      <c r="D350" s="178"/>
      <c r="E350" s="178"/>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7.25" customHeight="1">
      <c r="A351" s="178"/>
      <c r="B351" s="178"/>
      <c r="C351" s="178"/>
      <c r="D351" s="178"/>
      <c r="E351" s="178"/>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7.25" customHeight="1">
      <c r="A352" s="178"/>
      <c r="B352" s="178"/>
      <c r="C352" s="178"/>
      <c r="D352" s="178"/>
      <c r="E352" s="178"/>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7.25" customHeight="1">
      <c r="A353" s="178"/>
      <c r="B353" s="178"/>
      <c r="C353" s="178"/>
      <c r="D353" s="178"/>
      <c r="E353" s="178"/>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7.25" customHeight="1">
      <c r="A354" s="178"/>
      <c r="B354" s="178"/>
      <c r="C354" s="178"/>
      <c r="D354" s="178"/>
      <c r="E354" s="178"/>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7.25" customHeight="1">
      <c r="A355" s="178"/>
      <c r="B355" s="178"/>
      <c r="C355" s="178"/>
      <c r="D355" s="178"/>
      <c r="E355" s="178"/>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7.25" customHeight="1">
      <c r="A356" s="178"/>
      <c r="B356" s="178"/>
      <c r="C356" s="178"/>
      <c r="D356" s="178"/>
      <c r="E356" s="178"/>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7.25" customHeight="1">
      <c r="A357" s="178"/>
      <c r="B357" s="178"/>
      <c r="C357" s="178"/>
      <c r="D357" s="178"/>
      <c r="E357" s="178"/>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7.25" customHeight="1">
      <c r="A358" s="178"/>
      <c r="B358" s="178"/>
      <c r="C358" s="178"/>
      <c r="D358" s="178"/>
      <c r="E358" s="178"/>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7.25" customHeight="1">
      <c r="A359" s="178"/>
      <c r="B359" s="178"/>
      <c r="C359" s="178"/>
      <c r="D359" s="178"/>
      <c r="E359" s="178"/>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7.25" customHeight="1">
      <c r="A360" s="178"/>
      <c r="B360" s="178"/>
      <c r="C360" s="178"/>
      <c r="D360" s="178"/>
      <c r="E360" s="178"/>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7.25" customHeight="1">
      <c r="A361" s="178"/>
      <c r="B361" s="178"/>
      <c r="C361" s="178"/>
      <c r="D361" s="178"/>
      <c r="E361" s="178"/>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7.25" customHeight="1">
      <c r="A362" s="178"/>
      <c r="B362" s="178"/>
      <c r="C362" s="178"/>
      <c r="D362" s="178"/>
      <c r="E362" s="178"/>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7.25" customHeight="1">
      <c r="A363" s="178"/>
      <c r="B363" s="178"/>
      <c r="C363" s="178"/>
      <c r="D363" s="178"/>
      <c r="E363" s="178"/>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7.25" customHeight="1">
      <c r="A364" s="178"/>
      <c r="B364" s="178"/>
      <c r="C364" s="178"/>
      <c r="D364" s="178"/>
      <c r="E364" s="178"/>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7.25" customHeight="1">
      <c r="A365" s="178"/>
      <c r="B365" s="178"/>
      <c r="C365" s="178"/>
      <c r="D365" s="178"/>
      <c r="E365" s="178"/>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7.25" customHeight="1">
      <c r="A366" s="178"/>
      <c r="B366" s="178"/>
      <c r="C366" s="178"/>
      <c r="D366" s="178"/>
      <c r="E366" s="178"/>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7.25" customHeight="1">
      <c r="A367" s="178"/>
      <c r="B367" s="178"/>
      <c r="C367" s="178"/>
      <c r="D367" s="178"/>
      <c r="E367" s="178"/>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7.25" customHeight="1">
      <c r="A368" s="178"/>
      <c r="B368" s="178"/>
      <c r="C368" s="178"/>
      <c r="D368" s="178"/>
      <c r="E368" s="178"/>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7.25" customHeight="1">
      <c r="A369" s="178"/>
      <c r="B369" s="178"/>
      <c r="C369" s="178"/>
      <c r="D369" s="178"/>
      <c r="E369" s="178"/>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7.25" customHeight="1">
      <c r="A370" s="178"/>
      <c r="B370" s="178"/>
      <c r="C370" s="178"/>
      <c r="D370" s="178"/>
      <c r="E370" s="178"/>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7.25" customHeight="1">
      <c r="A371" s="178"/>
      <c r="B371" s="178"/>
      <c r="C371" s="178"/>
      <c r="D371" s="178"/>
      <c r="E371" s="178"/>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7.25" customHeight="1">
      <c r="A372" s="178"/>
      <c r="B372" s="178"/>
      <c r="C372" s="178"/>
      <c r="D372" s="178"/>
      <c r="E372" s="178"/>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7.25" customHeight="1">
      <c r="A373" s="178"/>
      <c r="B373" s="178"/>
      <c r="C373" s="178"/>
      <c r="D373" s="178"/>
      <c r="E373" s="178"/>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7.25" customHeight="1">
      <c r="A374" s="178"/>
      <c r="B374" s="178"/>
      <c r="C374" s="178"/>
      <c r="D374" s="178"/>
      <c r="E374" s="178"/>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7.25" customHeight="1">
      <c r="A375" s="178"/>
      <c r="B375" s="178"/>
      <c r="C375" s="178"/>
      <c r="D375" s="178"/>
      <c r="E375" s="178"/>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7.25" customHeight="1">
      <c r="A376" s="178"/>
      <c r="B376" s="178"/>
      <c r="C376" s="178"/>
      <c r="D376" s="178"/>
      <c r="E376" s="178"/>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7.25" customHeight="1">
      <c r="A377" s="178"/>
      <c r="B377" s="178"/>
      <c r="C377" s="178"/>
      <c r="D377" s="178"/>
      <c r="E377" s="178"/>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7.25" customHeight="1">
      <c r="A378" s="178"/>
      <c r="B378" s="178"/>
      <c r="C378" s="178"/>
      <c r="D378" s="178"/>
      <c r="E378" s="178"/>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7.25" customHeight="1">
      <c r="A379" s="178"/>
      <c r="B379" s="178"/>
      <c r="C379" s="178"/>
      <c r="D379" s="178"/>
      <c r="E379" s="178"/>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7.25" customHeight="1">
      <c r="A380" s="178"/>
      <c r="B380" s="178"/>
      <c r="C380" s="178"/>
      <c r="D380" s="178"/>
      <c r="E380" s="178"/>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7.25" customHeight="1">
      <c r="A381" s="178"/>
      <c r="B381" s="178"/>
      <c r="C381" s="178"/>
      <c r="D381" s="178"/>
      <c r="E381" s="178"/>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7.25" customHeight="1">
      <c r="A382" s="178"/>
      <c r="B382" s="178"/>
      <c r="C382" s="178"/>
      <c r="D382" s="178"/>
      <c r="E382" s="178"/>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7.25" customHeight="1">
      <c r="A383" s="178"/>
      <c r="B383" s="178"/>
      <c r="C383" s="178"/>
      <c r="D383" s="178"/>
      <c r="E383" s="178"/>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7.25" customHeight="1">
      <c r="A384" s="178"/>
      <c r="B384" s="178"/>
      <c r="C384" s="178"/>
      <c r="D384" s="178"/>
      <c r="E384" s="178"/>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7.25" customHeight="1">
      <c r="A385" s="178"/>
      <c r="B385" s="178"/>
      <c r="C385" s="178"/>
      <c r="D385" s="178"/>
      <c r="E385" s="178"/>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7.25" customHeight="1">
      <c r="A386" s="178"/>
      <c r="B386" s="178"/>
      <c r="C386" s="178"/>
      <c r="D386" s="178"/>
      <c r="E386" s="178"/>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7.25" customHeight="1">
      <c r="A387" s="178"/>
      <c r="B387" s="178"/>
      <c r="C387" s="178"/>
      <c r="D387" s="178"/>
      <c r="E387" s="178"/>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7.25" customHeight="1">
      <c r="A388" s="178"/>
      <c r="B388" s="178"/>
      <c r="C388" s="178"/>
      <c r="D388" s="178"/>
      <c r="E388" s="178"/>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7.25" customHeight="1">
      <c r="A389" s="178"/>
      <c r="B389" s="178"/>
      <c r="C389" s="178"/>
      <c r="D389" s="178"/>
      <c r="E389" s="178"/>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7.25" customHeight="1">
      <c r="A390" s="178"/>
      <c r="B390" s="178"/>
      <c r="C390" s="178"/>
      <c r="D390" s="178"/>
      <c r="E390" s="178"/>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7.25" customHeight="1">
      <c r="A391" s="178"/>
      <c r="B391" s="178"/>
      <c r="C391" s="178"/>
      <c r="D391" s="178"/>
      <c r="E391" s="178"/>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7.25" customHeight="1">
      <c r="A392" s="178"/>
      <c r="B392" s="178"/>
      <c r="C392" s="178"/>
      <c r="D392" s="178"/>
      <c r="E392" s="178"/>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7.25" customHeight="1">
      <c r="A393" s="178"/>
      <c r="B393" s="178"/>
      <c r="C393" s="178"/>
      <c r="D393" s="178"/>
      <c r="E393" s="178"/>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7.25" customHeight="1">
      <c r="A394" s="178"/>
      <c r="B394" s="178"/>
      <c r="C394" s="178"/>
      <c r="D394" s="178"/>
      <c r="E394" s="178"/>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7.25" customHeight="1">
      <c r="A395" s="178"/>
      <c r="B395" s="178"/>
      <c r="C395" s="178"/>
      <c r="D395" s="178"/>
      <c r="E395" s="178"/>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7.25" customHeight="1">
      <c r="A396" s="178"/>
      <c r="B396" s="178"/>
      <c r="C396" s="178"/>
      <c r="D396" s="178"/>
      <c r="E396" s="178"/>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7.25" customHeight="1">
      <c r="A397" s="178"/>
      <c r="B397" s="178"/>
      <c r="C397" s="178"/>
      <c r="D397" s="178"/>
      <c r="E397" s="178"/>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7.25" customHeight="1">
      <c r="A398" s="178"/>
      <c r="B398" s="178"/>
      <c r="C398" s="178"/>
      <c r="D398" s="178"/>
      <c r="E398" s="178"/>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7.25" customHeight="1">
      <c r="A399" s="178"/>
      <c r="B399" s="178"/>
      <c r="C399" s="178"/>
      <c r="D399" s="178"/>
      <c r="E399" s="178"/>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7.25" customHeight="1">
      <c r="A400" s="178"/>
      <c r="B400" s="178"/>
      <c r="C400" s="178"/>
      <c r="D400" s="178"/>
      <c r="E400" s="178"/>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7.25" customHeight="1">
      <c r="A401" s="178"/>
      <c r="B401" s="178"/>
      <c r="C401" s="178"/>
      <c r="D401" s="178"/>
      <c r="E401" s="178"/>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7.25" customHeight="1">
      <c r="A402" s="178"/>
      <c r="B402" s="178"/>
      <c r="C402" s="178"/>
      <c r="D402" s="178"/>
      <c r="E402" s="178"/>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7.25" customHeight="1">
      <c r="A403" s="178"/>
      <c r="B403" s="178"/>
      <c r="C403" s="178"/>
      <c r="D403" s="178"/>
      <c r="E403" s="178"/>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7.25" customHeight="1">
      <c r="A404" s="178"/>
      <c r="B404" s="178"/>
      <c r="C404" s="178"/>
      <c r="D404" s="178"/>
      <c r="E404" s="178"/>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7.25" customHeight="1">
      <c r="A405" s="178"/>
      <c r="B405" s="178"/>
      <c r="C405" s="178"/>
      <c r="D405" s="178"/>
      <c r="E405" s="178"/>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7.25" customHeight="1">
      <c r="A406" s="178"/>
      <c r="B406" s="178"/>
      <c r="C406" s="178"/>
      <c r="D406" s="178"/>
      <c r="E406" s="178"/>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7.25" customHeight="1">
      <c r="A407" s="178"/>
      <c r="B407" s="178"/>
      <c r="C407" s="178"/>
      <c r="D407" s="178"/>
      <c r="E407" s="178"/>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7.25" customHeight="1">
      <c r="A408" s="178"/>
      <c r="B408" s="178"/>
      <c r="C408" s="178"/>
      <c r="D408" s="178"/>
      <c r="E408" s="178"/>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7.25" customHeight="1">
      <c r="A409" s="178"/>
      <c r="B409" s="178"/>
      <c r="C409" s="178"/>
      <c r="D409" s="178"/>
      <c r="E409" s="178"/>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7.25" customHeight="1">
      <c r="A410" s="178"/>
      <c r="B410" s="178"/>
      <c r="C410" s="178"/>
      <c r="D410" s="178"/>
      <c r="E410" s="178"/>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7.25" customHeight="1">
      <c r="A411" s="178"/>
      <c r="B411" s="178"/>
      <c r="C411" s="178"/>
      <c r="D411" s="178"/>
      <c r="E411" s="178"/>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7.25" customHeight="1">
      <c r="A412" s="178"/>
      <c r="B412" s="178"/>
      <c r="C412" s="178"/>
      <c r="D412" s="178"/>
      <c r="E412" s="178"/>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7.25" customHeight="1">
      <c r="A413" s="178"/>
      <c r="B413" s="178"/>
      <c r="C413" s="178"/>
      <c r="D413" s="178"/>
      <c r="E413" s="178"/>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7.25" customHeight="1">
      <c r="A414" s="178"/>
      <c r="B414" s="178"/>
      <c r="C414" s="178"/>
      <c r="D414" s="178"/>
      <c r="E414" s="178"/>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7.25" customHeight="1">
      <c r="A415" s="178"/>
      <c r="B415" s="178"/>
      <c r="C415" s="178"/>
      <c r="D415" s="178"/>
      <c r="E415" s="178"/>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7.25" customHeight="1">
      <c r="A416" s="178"/>
      <c r="B416" s="178"/>
      <c r="C416" s="178"/>
      <c r="D416" s="178"/>
      <c r="E416" s="178"/>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7.25" customHeight="1">
      <c r="A417" s="178"/>
      <c r="B417" s="178"/>
      <c r="C417" s="178"/>
      <c r="D417" s="178"/>
      <c r="E417" s="178"/>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7.25" customHeight="1">
      <c r="A418" s="178"/>
      <c r="B418" s="178"/>
      <c r="C418" s="178"/>
      <c r="D418" s="178"/>
      <c r="E418" s="178"/>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7.25" customHeight="1">
      <c r="A419" s="178"/>
      <c r="B419" s="178"/>
      <c r="C419" s="178"/>
      <c r="D419" s="178"/>
      <c r="E419" s="178"/>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7.25" customHeight="1">
      <c r="A420" s="178"/>
      <c r="B420" s="178"/>
      <c r="C420" s="178"/>
      <c r="D420" s="178"/>
      <c r="E420" s="178"/>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7.25" customHeight="1">
      <c r="A421" s="178"/>
      <c r="B421" s="178"/>
      <c r="C421" s="178"/>
      <c r="D421" s="178"/>
      <c r="E421" s="178"/>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7.25" customHeight="1">
      <c r="A422" s="178"/>
      <c r="B422" s="178"/>
      <c r="C422" s="178"/>
      <c r="D422" s="178"/>
      <c r="E422" s="178"/>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7.25" customHeight="1">
      <c r="A423" s="178"/>
      <c r="B423" s="178"/>
      <c r="C423" s="178"/>
      <c r="D423" s="178"/>
      <c r="E423" s="178"/>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7.25" customHeight="1">
      <c r="A424" s="178"/>
      <c r="B424" s="178"/>
      <c r="C424" s="178"/>
      <c r="D424" s="178"/>
      <c r="E424" s="178"/>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7.25" customHeight="1">
      <c r="A425" s="178"/>
      <c r="B425" s="178"/>
      <c r="C425" s="178"/>
      <c r="D425" s="178"/>
      <c r="E425" s="178"/>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7.25" customHeight="1">
      <c r="A426" s="178"/>
      <c r="B426" s="178"/>
      <c r="C426" s="178"/>
      <c r="D426" s="178"/>
      <c r="E426" s="178"/>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7.25" customHeight="1">
      <c r="A427" s="178"/>
      <c r="B427" s="178"/>
      <c r="C427" s="178"/>
      <c r="D427" s="178"/>
      <c r="E427" s="178"/>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7.25" customHeight="1">
      <c r="A428" s="178"/>
      <c r="B428" s="178"/>
      <c r="C428" s="178"/>
      <c r="D428" s="178"/>
      <c r="E428" s="178"/>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7.25" customHeight="1">
      <c r="A429" s="178"/>
      <c r="B429" s="178"/>
      <c r="C429" s="178"/>
      <c r="D429" s="178"/>
      <c r="E429" s="178"/>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7.25" customHeight="1">
      <c r="A430" s="178"/>
      <c r="B430" s="178"/>
      <c r="C430" s="178"/>
      <c r="D430" s="178"/>
      <c r="E430" s="178"/>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7.25" customHeight="1">
      <c r="A431" s="178"/>
      <c r="B431" s="178"/>
      <c r="C431" s="178"/>
      <c r="D431" s="178"/>
      <c r="E431" s="178"/>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7.25" customHeight="1">
      <c r="A432" s="178"/>
      <c r="B432" s="178"/>
      <c r="C432" s="178"/>
      <c r="D432" s="178"/>
      <c r="E432" s="178"/>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7.25" customHeight="1">
      <c r="A433" s="178"/>
      <c r="B433" s="178"/>
      <c r="C433" s="178"/>
      <c r="D433" s="178"/>
      <c r="E433" s="178"/>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7.25" customHeight="1">
      <c r="A434" s="178"/>
      <c r="B434" s="178"/>
      <c r="C434" s="178"/>
      <c r="D434" s="178"/>
      <c r="E434" s="178"/>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7.25" customHeight="1">
      <c r="A435" s="178"/>
      <c r="B435" s="178"/>
      <c r="C435" s="178"/>
      <c r="D435" s="178"/>
      <c r="E435" s="178"/>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7.25" customHeight="1">
      <c r="A436" s="178"/>
      <c r="B436" s="178"/>
      <c r="C436" s="178"/>
      <c r="D436" s="178"/>
      <c r="E436" s="178"/>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7.25" customHeight="1">
      <c r="A437" s="178"/>
      <c r="B437" s="178"/>
      <c r="C437" s="178"/>
      <c r="D437" s="178"/>
      <c r="E437" s="178"/>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7.25" customHeight="1">
      <c r="A438" s="178"/>
      <c r="B438" s="178"/>
      <c r="C438" s="178"/>
      <c r="D438" s="178"/>
      <c r="E438" s="178"/>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7.25" customHeight="1">
      <c r="A439" s="178"/>
      <c r="B439" s="178"/>
      <c r="C439" s="178"/>
      <c r="D439" s="178"/>
      <c r="E439" s="178"/>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7.25" customHeight="1">
      <c r="A440" s="178"/>
      <c r="B440" s="178"/>
      <c r="C440" s="178"/>
      <c r="D440" s="178"/>
      <c r="E440" s="178"/>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7.25" customHeight="1">
      <c r="A441" s="178"/>
      <c r="B441" s="178"/>
      <c r="C441" s="178"/>
      <c r="D441" s="178"/>
      <c r="E441" s="178"/>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7.25" customHeight="1">
      <c r="A442" s="178"/>
      <c r="B442" s="178"/>
      <c r="C442" s="178"/>
      <c r="D442" s="178"/>
      <c r="E442" s="178"/>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7.25" customHeight="1">
      <c r="A443" s="178"/>
      <c r="B443" s="178"/>
      <c r="C443" s="178"/>
      <c r="D443" s="178"/>
      <c r="E443" s="178"/>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7.25" customHeight="1">
      <c r="A444" s="178"/>
      <c r="B444" s="178"/>
      <c r="C444" s="178"/>
      <c r="D444" s="178"/>
      <c r="E444" s="178"/>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7.25" customHeight="1">
      <c r="A445" s="178"/>
      <c r="B445" s="178"/>
      <c r="C445" s="178"/>
      <c r="D445" s="178"/>
      <c r="E445" s="178"/>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7.25" customHeight="1">
      <c r="A446" s="178"/>
      <c r="B446" s="178"/>
      <c r="C446" s="178"/>
      <c r="D446" s="178"/>
      <c r="E446" s="178"/>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7.25" customHeight="1">
      <c r="A447" s="178"/>
      <c r="B447" s="178"/>
      <c r="C447" s="178"/>
      <c r="D447" s="178"/>
      <c r="E447" s="178"/>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7.25" customHeight="1">
      <c r="A448" s="178"/>
      <c r="B448" s="178"/>
      <c r="C448" s="178"/>
      <c r="D448" s="178"/>
      <c r="E448" s="178"/>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7.25" customHeight="1">
      <c r="A449" s="178"/>
      <c r="B449" s="178"/>
      <c r="C449" s="178"/>
      <c r="D449" s="178"/>
      <c r="E449" s="178"/>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7.25" customHeight="1">
      <c r="A450" s="178"/>
      <c r="B450" s="178"/>
      <c r="C450" s="178"/>
      <c r="D450" s="178"/>
      <c r="E450" s="178"/>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7.25" customHeight="1">
      <c r="A451" s="178"/>
      <c r="B451" s="178"/>
      <c r="C451" s="178"/>
      <c r="D451" s="178"/>
      <c r="E451" s="178"/>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7.25" customHeight="1">
      <c r="A452" s="178"/>
      <c r="B452" s="178"/>
      <c r="C452" s="178"/>
      <c r="D452" s="178"/>
      <c r="E452" s="178"/>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7.25" customHeight="1">
      <c r="A453" s="178"/>
      <c r="B453" s="178"/>
      <c r="C453" s="178"/>
      <c r="D453" s="178"/>
      <c r="E453" s="178"/>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7.25" customHeight="1">
      <c r="A454" s="178"/>
      <c r="B454" s="178"/>
      <c r="C454" s="178"/>
      <c r="D454" s="178"/>
      <c r="E454" s="178"/>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7.25" customHeight="1">
      <c r="A455" s="178"/>
      <c r="B455" s="178"/>
      <c r="C455" s="178"/>
      <c r="D455" s="178"/>
      <c r="E455" s="178"/>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7.25" customHeight="1">
      <c r="A456" s="178"/>
      <c r="B456" s="178"/>
      <c r="C456" s="178"/>
      <c r="D456" s="178"/>
      <c r="E456" s="178"/>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7.25" customHeight="1">
      <c r="A457" s="178"/>
      <c r="B457" s="178"/>
      <c r="C457" s="178"/>
      <c r="D457" s="178"/>
      <c r="E457" s="178"/>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7.25" customHeight="1">
      <c r="A458" s="178"/>
      <c r="B458" s="178"/>
      <c r="C458" s="178"/>
      <c r="D458" s="178"/>
      <c r="E458" s="178"/>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7.25" customHeight="1">
      <c r="A459" s="178"/>
      <c r="B459" s="178"/>
      <c r="C459" s="178"/>
      <c r="D459" s="178"/>
      <c r="E459" s="178"/>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7.25" customHeight="1">
      <c r="A460" s="178"/>
      <c r="B460" s="178"/>
      <c r="C460" s="178"/>
      <c r="D460" s="178"/>
      <c r="E460" s="178"/>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7.25" customHeight="1">
      <c r="A461" s="178"/>
      <c r="B461" s="178"/>
      <c r="C461" s="178"/>
      <c r="D461" s="178"/>
      <c r="E461" s="178"/>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7.25" customHeight="1">
      <c r="A462" s="178"/>
      <c r="B462" s="178"/>
      <c r="C462" s="178"/>
      <c r="D462" s="178"/>
      <c r="E462" s="178"/>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7.25" customHeight="1">
      <c r="A463" s="178"/>
      <c r="B463" s="178"/>
      <c r="C463" s="178"/>
      <c r="D463" s="178"/>
      <c r="E463" s="178"/>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7.25" customHeight="1">
      <c r="A464" s="178"/>
      <c r="B464" s="178"/>
      <c r="C464" s="178"/>
      <c r="D464" s="178"/>
      <c r="E464" s="178"/>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7.25" customHeight="1">
      <c r="A465" s="178"/>
      <c r="B465" s="178"/>
      <c r="C465" s="178"/>
      <c r="D465" s="178"/>
      <c r="E465" s="178"/>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7.25" customHeight="1">
      <c r="A466" s="178"/>
      <c r="B466" s="178"/>
      <c r="C466" s="178"/>
      <c r="D466" s="178"/>
      <c r="E466" s="178"/>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7.25" customHeight="1">
      <c r="A467" s="178"/>
      <c r="B467" s="178"/>
      <c r="C467" s="178"/>
      <c r="D467" s="178"/>
      <c r="E467" s="178"/>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7.25" customHeight="1">
      <c r="A468" s="178"/>
      <c r="B468" s="178"/>
      <c r="C468" s="178"/>
      <c r="D468" s="178"/>
      <c r="E468" s="178"/>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7.25" customHeight="1">
      <c r="A469" s="178"/>
      <c r="B469" s="178"/>
      <c r="C469" s="178"/>
      <c r="D469" s="178"/>
      <c r="E469" s="178"/>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7.25" customHeight="1">
      <c r="A470" s="178"/>
      <c r="B470" s="178"/>
      <c r="C470" s="178"/>
      <c r="D470" s="178"/>
      <c r="E470" s="178"/>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7.25" customHeight="1">
      <c r="A471" s="178"/>
      <c r="B471" s="178"/>
      <c r="C471" s="178"/>
      <c r="D471" s="178"/>
      <c r="E471" s="178"/>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7.25" customHeight="1">
      <c r="A472" s="178"/>
      <c r="B472" s="178"/>
      <c r="C472" s="178"/>
      <c r="D472" s="178"/>
      <c r="E472" s="178"/>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7.25" customHeight="1">
      <c r="A473" s="178"/>
      <c r="B473" s="178"/>
      <c r="C473" s="178"/>
      <c r="D473" s="178"/>
      <c r="E473" s="178"/>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7.25" customHeight="1">
      <c r="A474" s="178"/>
      <c r="B474" s="178"/>
      <c r="C474" s="178"/>
      <c r="D474" s="178"/>
      <c r="E474" s="178"/>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7.25" customHeight="1">
      <c r="A475" s="178"/>
      <c r="B475" s="178"/>
      <c r="C475" s="178"/>
      <c r="D475" s="178"/>
      <c r="E475" s="178"/>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7.25" customHeight="1">
      <c r="A476" s="178"/>
      <c r="B476" s="178"/>
      <c r="C476" s="178"/>
      <c r="D476" s="178"/>
      <c r="E476" s="178"/>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7.25" customHeight="1">
      <c r="A477" s="178"/>
      <c r="B477" s="178"/>
      <c r="C477" s="178"/>
      <c r="D477" s="178"/>
      <c r="E477" s="178"/>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7.25" customHeight="1">
      <c r="A478" s="178"/>
      <c r="B478" s="178"/>
      <c r="C478" s="178"/>
      <c r="D478" s="178"/>
      <c r="E478" s="178"/>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7.25" customHeight="1">
      <c r="A479" s="178"/>
      <c r="B479" s="178"/>
      <c r="C479" s="178"/>
      <c r="D479" s="178"/>
      <c r="E479" s="178"/>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7.25" customHeight="1">
      <c r="A480" s="178"/>
      <c r="B480" s="178"/>
      <c r="C480" s="178"/>
      <c r="D480" s="178"/>
      <c r="E480" s="178"/>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7.25" customHeight="1">
      <c r="A481" s="178"/>
      <c r="B481" s="178"/>
      <c r="C481" s="178"/>
      <c r="D481" s="178"/>
      <c r="E481" s="178"/>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7.25" customHeight="1">
      <c r="A482" s="178"/>
      <c r="B482" s="178"/>
      <c r="C482" s="178"/>
      <c r="D482" s="178"/>
      <c r="E482" s="178"/>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7.25" customHeight="1">
      <c r="A483" s="178"/>
      <c r="B483" s="178"/>
      <c r="C483" s="178"/>
      <c r="D483" s="178"/>
      <c r="E483" s="178"/>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7.25" customHeight="1">
      <c r="A484" s="178"/>
      <c r="B484" s="178"/>
      <c r="C484" s="178"/>
      <c r="D484" s="178"/>
      <c r="E484" s="178"/>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7.25" customHeight="1">
      <c r="A485" s="178"/>
      <c r="B485" s="178"/>
      <c r="C485" s="178"/>
      <c r="D485" s="178"/>
      <c r="E485" s="178"/>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7.25" customHeight="1">
      <c r="A486" s="178"/>
      <c r="B486" s="178"/>
      <c r="C486" s="178"/>
      <c r="D486" s="178"/>
      <c r="E486" s="178"/>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7.25" customHeight="1">
      <c r="A487" s="178"/>
      <c r="B487" s="178"/>
      <c r="C487" s="178"/>
      <c r="D487" s="178"/>
      <c r="E487" s="178"/>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7.25" customHeight="1">
      <c r="A488" s="178"/>
      <c r="B488" s="178"/>
      <c r="C488" s="178"/>
      <c r="D488" s="178"/>
      <c r="E488" s="178"/>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7.25" customHeight="1">
      <c r="A489" s="178"/>
      <c r="B489" s="178"/>
      <c r="C489" s="178"/>
      <c r="D489" s="178"/>
      <c r="E489" s="178"/>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7.25" customHeight="1">
      <c r="A490" s="178"/>
      <c r="B490" s="178"/>
      <c r="C490" s="178"/>
      <c r="D490" s="178"/>
      <c r="E490" s="178"/>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7.25" customHeight="1">
      <c r="A491" s="178"/>
      <c r="B491" s="178"/>
      <c r="C491" s="178"/>
      <c r="D491" s="178"/>
      <c r="E491" s="178"/>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7.25" customHeight="1">
      <c r="A492" s="178"/>
      <c r="B492" s="178"/>
      <c r="C492" s="178"/>
      <c r="D492" s="178"/>
      <c r="E492" s="178"/>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7.25" customHeight="1">
      <c r="A493" s="178"/>
      <c r="B493" s="178"/>
      <c r="C493" s="178"/>
      <c r="D493" s="178"/>
      <c r="E493" s="178"/>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7.25" customHeight="1">
      <c r="A494" s="178"/>
      <c r="B494" s="178"/>
      <c r="C494" s="178"/>
      <c r="D494" s="178"/>
      <c r="E494" s="178"/>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7.25" customHeight="1">
      <c r="A495" s="178"/>
      <c r="B495" s="178"/>
      <c r="C495" s="178"/>
      <c r="D495" s="178"/>
      <c r="E495" s="178"/>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7.25" customHeight="1">
      <c r="A496" s="178"/>
      <c r="B496" s="178"/>
      <c r="C496" s="178"/>
      <c r="D496" s="178"/>
      <c r="E496" s="178"/>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7.25" customHeight="1">
      <c r="A497" s="178"/>
      <c r="B497" s="178"/>
      <c r="C497" s="178"/>
      <c r="D497" s="178"/>
      <c r="E497" s="178"/>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7.25" customHeight="1">
      <c r="A498" s="178"/>
      <c r="B498" s="178"/>
      <c r="C498" s="178"/>
      <c r="D498" s="178"/>
      <c r="E498" s="178"/>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7.25" customHeight="1">
      <c r="A499" s="178"/>
      <c r="B499" s="178"/>
      <c r="C499" s="178"/>
      <c r="D499" s="178"/>
      <c r="E499" s="178"/>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7.25" customHeight="1">
      <c r="A500" s="178"/>
      <c r="B500" s="178"/>
      <c r="C500" s="178"/>
      <c r="D500" s="178"/>
      <c r="E500" s="178"/>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7.25" customHeight="1">
      <c r="A501" s="178"/>
      <c r="B501" s="178"/>
      <c r="C501" s="178"/>
      <c r="D501" s="178"/>
      <c r="E501" s="178"/>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7.25" customHeight="1">
      <c r="A502" s="178"/>
      <c r="B502" s="178"/>
      <c r="C502" s="178"/>
      <c r="D502" s="178"/>
      <c r="E502" s="178"/>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7.25" customHeight="1">
      <c r="A503" s="178"/>
      <c r="B503" s="178"/>
      <c r="C503" s="178"/>
      <c r="D503" s="178"/>
      <c r="E503" s="178"/>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7.25" customHeight="1">
      <c r="A504" s="178"/>
      <c r="B504" s="178"/>
      <c r="C504" s="178"/>
      <c r="D504" s="178"/>
      <c r="E504" s="178"/>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7.25" customHeight="1">
      <c r="A505" s="178"/>
      <c r="B505" s="178"/>
      <c r="C505" s="178"/>
      <c r="D505" s="178"/>
      <c r="E505" s="178"/>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7.25" customHeight="1">
      <c r="A506" s="178"/>
      <c r="B506" s="178"/>
      <c r="C506" s="178"/>
      <c r="D506" s="178"/>
      <c r="E506" s="178"/>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7.25" customHeight="1">
      <c r="A507" s="178"/>
      <c r="B507" s="178"/>
      <c r="C507" s="178"/>
      <c r="D507" s="178"/>
      <c r="E507" s="178"/>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7.25" customHeight="1">
      <c r="A508" s="178"/>
      <c r="B508" s="178"/>
      <c r="C508" s="178"/>
      <c r="D508" s="178"/>
      <c r="E508" s="178"/>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7.25" customHeight="1">
      <c r="A509" s="178"/>
      <c r="B509" s="178"/>
      <c r="C509" s="178"/>
      <c r="D509" s="178"/>
      <c r="E509" s="178"/>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7.25" customHeight="1">
      <c r="A510" s="178"/>
      <c r="B510" s="178"/>
      <c r="C510" s="178"/>
      <c r="D510" s="178"/>
      <c r="E510" s="178"/>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7.25" customHeight="1">
      <c r="A511" s="178"/>
      <c r="B511" s="178"/>
      <c r="C511" s="178"/>
      <c r="D511" s="178"/>
      <c r="E511" s="178"/>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7.25" customHeight="1">
      <c r="A512" s="178"/>
      <c r="B512" s="178"/>
      <c r="C512" s="178"/>
      <c r="D512" s="178"/>
      <c r="E512" s="178"/>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7.25" customHeight="1">
      <c r="A513" s="178"/>
      <c r="B513" s="178"/>
      <c r="C513" s="178"/>
      <c r="D513" s="178"/>
      <c r="E513" s="178"/>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7.25" customHeight="1">
      <c r="A514" s="178"/>
      <c r="B514" s="178"/>
      <c r="C514" s="178"/>
      <c r="D514" s="178"/>
      <c r="E514" s="178"/>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7.25" customHeight="1">
      <c r="A515" s="178"/>
      <c r="B515" s="178"/>
      <c r="C515" s="178"/>
      <c r="D515" s="178"/>
      <c r="E515" s="178"/>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7.25" customHeight="1">
      <c r="A516" s="178"/>
      <c r="B516" s="178"/>
      <c r="C516" s="178"/>
      <c r="D516" s="178"/>
      <c r="E516" s="178"/>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7.25" customHeight="1">
      <c r="A517" s="178"/>
      <c r="B517" s="178"/>
      <c r="C517" s="178"/>
      <c r="D517" s="178"/>
      <c r="E517" s="178"/>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7.25" customHeight="1">
      <c r="A518" s="178"/>
      <c r="B518" s="178"/>
      <c r="C518" s="178"/>
      <c r="D518" s="178"/>
      <c r="E518" s="178"/>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7.25" customHeight="1">
      <c r="A519" s="178"/>
      <c r="B519" s="178"/>
      <c r="C519" s="178"/>
      <c r="D519" s="178"/>
      <c r="E519" s="178"/>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7.25" customHeight="1">
      <c r="A520" s="178"/>
      <c r="B520" s="178"/>
      <c r="C520" s="178"/>
      <c r="D520" s="178"/>
      <c r="E520" s="178"/>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7.25" customHeight="1">
      <c r="A521" s="178"/>
      <c r="B521" s="178"/>
      <c r="C521" s="178"/>
      <c r="D521" s="178"/>
      <c r="E521" s="178"/>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7.25" customHeight="1">
      <c r="A522" s="178"/>
      <c r="B522" s="178"/>
      <c r="C522" s="178"/>
      <c r="D522" s="178"/>
      <c r="E522" s="178"/>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7.25" customHeight="1">
      <c r="A523" s="178"/>
      <c r="B523" s="178"/>
      <c r="C523" s="178"/>
      <c r="D523" s="178"/>
      <c r="E523" s="178"/>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7.25" customHeight="1">
      <c r="A524" s="178"/>
      <c r="B524" s="178"/>
      <c r="C524" s="178"/>
      <c r="D524" s="178"/>
      <c r="E524" s="178"/>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7.25" customHeight="1">
      <c r="A525" s="178"/>
      <c r="B525" s="178"/>
      <c r="C525" s="178"/>
      <c r="D525" s="178"/>
      <c r="E525" s="178"/>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7.25" customHeight="1">
      <c r="A526" s="178"/>
      <c r="B526" s="178"/>
      <c r="C526" s="178"/>
      <c r="D526" s="178"/>
      <c r="E526" s="178"/>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7.25" customHeight="1">
      <c r="A527" s="178"/>
      <c r="B527" s="178"/>
      <c r="C527" s="178"/>
      <c r="D527" s="178"/>
      <c r="E527" s="178"/>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7.25" customHeight="1">
      <c r="A528" s="178"/>
      <c r="B528" s="178"/>
      <c r="C528" s="178"/>
      <c r="D528" s="178"/>
      <c r="E528" s="178"/>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7.25" customHeight="1">
      <c r="A529" s="178"/>
      <c r="B529" s="178"/>
      <c r="C529" s="178"/>
      <c r="D529" s="178"/>
      <c r="E529" s="178"/>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7.25" customHeight="1">
      <c r="A530" s="178"/>
      <c r="B530" s="178"/>
      <c r="C530" s="178"/>
      <c r="D530" s="178"/>
      <c r="E530" s="178"/>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7.25" customHeight="1">
      <c r="A531" s="178"/>
      <c r="B531" s="178"/>
      <c r="C531" s="178"/>
      <c r="D531" s="178"/>
      <c r="E531" s="178"/>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7.25" customHeight="1">
      <c r="A532" s="178"/>
      <c r="B532" s="178"/>
      <c r="C532" s="178"/>
      <c r="D532" s="178"/>
      <c r="E532" s="178"/>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7.25" customHeight="1">
      <c r="A533" s="178"/>
      <c r="B533" s="178"/>
      <c r="C533" s="178"/>
      <c r="D533" s="178"/>
      <c r="E533" s="178"/>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7.25" customHeight="1">
      <c r="A534" s="178"/>
      <c r="B534" s="178"/>
      <c r="C534" s="178"/>
      <c r="D534" s="178"/>
      <c r="E534" s="178"/>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7.25" customHeight="1">
      <c r="A535" s="178"/>
      <c r="B535" s="178"/>
      <c r="C535" s="178"/>
      <c r="D535" s="178"/>
      <c r="E535" s="178"/>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7.25" customHeight="1">
      <c r="A536" s="178"/>
      <c r="B536" s="178"/>
      <c r="C536" s="178"/>
      <c r="D536" s="178"/>
      <c r="E536" s="178"/>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7.25" customHeight="1">
      <c r="A537" s="178"/>
      <c r="B537" s="178"/>
      <c r="C537" s="178"/>
      <c r="D537" s="178"/>
      <c r="E537" s="178"/>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7.25" customHeight="1">
      <c r="A538" s="178"/>
      <c r="B538" s="178"/>
      <c r="C538" s="178"/>
      <c r="D538" s="178"/>
      <c r="E538" s="178"/>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7.25" customHeight="1">
      <c r="A539" s="178"/>
      <c r="B539" s="178"/>
      <c r="C539" s="178"/>
      <c r="D539" s="178"/>
      <c r="E539" s="178"/>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7.25" customHeight="1">
      <c r="A540" s="178"/>
      <c r="B540" s="178"/>
      <c r="C540" s="178"/>
      <c r="D540" s="178"/>
      <c r="E540" s="178"/>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7.25" customHeight="1">
      <c r="A541" s="178"/>
      <c r="B541" s="178"/>
      <c r="C541" s="178"/>
      <c r="D541" s="178"/>
      <c r="E541" s="178"/>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7.25" customHeight="1">
      <c r="A542" s="178"/>
      <c r="B542" s="178"/>
      <c r="C542" s="178"/>
      <c r="D542" s="178"/>
      <c r="E542" s="178"/>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7.25" customHeight="1">
      <c r="A543" s="178"/>
      <c r="B543" s="178"/>
      <c r="C543" s="178"/>
      <c r="D543" s="178"/>
      <c r="E543" s="178"/>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7.25" customHeight="1">
      <c r="A544" s="178"/>
      <c r="B544" s="178"/>
      <c r="C544" s="178"/>
      <c r="D544" s="178"/>
      <c r="E544" s="178"/>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7.25" customHeight="1">
      <c r="A545" s="178"/>
      <c r="B545" s="178"/>
      <c r="C545" s="178"/>
      <c r="D545" s="178"/>
      <c r="E545" s="178"/>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7.25" customHeight="1">
      <c r="A546" s="178"/>
      <c r="B546" s="178"/>
      <c r="C546" s="178"/>
      <c r="D546" s="178"/>
      <c r="E546" s="178"/>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7.25" customHeight="1">
      <c r="A547" s="178"/>
      <c r="B547" s="178"/>
      <c r="C547" s="178"/>
      <c r="D547" s="178"/>
      <c r="E547" s="178"/>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7.25" customHeight="1">
      <c r="A548" s="178"/>
      <c r="B548" s="178"/>
      <c r="C548" s="178"/>
      <c r="D548" s="178"/>
      <c r="E548" s="178"/>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7.25" customHeight="1">
      <c r="A549" s="178"/>
      <c r="B549" s="178"/>
      <c r="C549" s="178"/>
      <c r="D549" s="178"/>
      <c r="E549" s="178"/>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7.25" customHeight="1">
      <c r="A550" s="178"/>
      <c r="B550" s="178"/>
      <c r="C550" s="178"/>
      <c r="D550" s="178"/>
      <c r="E550" s="178"/>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7.25" customHeight="1">
      <c r="A551" s="178"/>
      <c r="B551" s="178"/>
      <c r="C551" s="178"/>
      <c r="D551" s="178"/>
      <c r="E551" s="178"/>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7.25" customHeight="1">
      <c r="A552" s="178"/>
      <c r="B552" s="178"/>
      <c r="C552" s="178"/>
      <c r="D552" s="178"/>
      <c r="E552" s="178"/>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7.25" customHeight="1">
      <c r="A553" s="178"/>
      <c r="B553" s="178"/>
      <c r="C553" s="178"/>
      <c r="D553" s="178"/>
      <c r="E553" s="178"/>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7.25" customHeight="1">
      <c r="A554" s="178"/>
      <c r="B554" s="178"/>
      <c r="C554" s="178"/>
      <c r="D554" s="178"/>
      <c r="E554" s="178"/>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7.25" customHeight="1">
      <c r="A555" s="178"/>
      <c r="B555" s="178"/>
      <c r="C555" s="178"/>
      <c r="D555" s="178"/>
      <c r="E555" s="178"/>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7.25" customHeight="1">
      <c r="A556" s="178"/>
      <c r="B556" s="178"/>
      <c r="C556" s="178"/>
      <c r="D556" s="178"/>
      <c r="E556" s="178"/>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7.25" customHeight="1">
      <c r="A557" s="178"/>
      <c r="B557" s="178"/>
      <c r="C557" s="178"/>
      <c r="D557" s="178"/>
      <c r="E557" s="178"/>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7.25" customHeight="1">
      <c r="A558" s="178"/>
      <c r="B558" s="178"/>
      <c r="C558" s="178"/>
      <c r="D558" s="178"/>
      <c r="E558" s="178"/>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7.25" customHeight="1">
      <c r="A559" s="178"/>
      <c r="B559" s="178"/>
      <c r="C559" s="178"/>
      <c r="D559" s="178"/>
      <c r="E559" s="178"/>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7.25" customHeight="1">
      <c r="A560" s="178"/>
      <c r="B560" s="178"/>
      <c r="C560" s="178"/>
      <c r="D560" s="178"/>
      <c r="E560" s="178"/>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7.25" customHeight="1">
      <c r="A561" s="178"/>
      <c r="B561" s="178"/>
      <c r="C561" s="178"/>
      <c r="D561" s="178"/>
      <c r="E561" s="178"/>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7.25" customHeight="1">
      <c r="A562" s="178"/>
      <c r="B562" s="178"/>
      <c r="C562" s="178"/>
      <c r="D562" s="178"/>
      <c r="E562" s="178"/>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7.25" customHeight="1">
      <c r="A563" s="178"/>
      <c r="B563" s="178"/>
      <c r="C563" s="178"/>
      <c r="D563" s="178"/>
      <c r="E563" s="178"/>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7.25" customHeight="1">
      <c r="A564" s="178"/>
      <c r="B564" s="178"/>
      <c r="C564" s="178"/>
      <c r="D564" s="178"/>
      <c r="E564" s="178"/>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7.25" customHeight="1">
      <c r="A565" s="178"/>
      <c r="B565" s="178"/>
      <c r="C565" s="178"/>
      <c r="D565" s="178"/>
      <c r="E565" s="178"/>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7.25" customHeight="1">
      <c r="A566" s="178"/>
      <c r="B566" s="178"/>
      <c r="C566" s="178"/>
      <c r="D566" s="178"/>
      <c r="E566" s="178"/>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7.25" customHeight="1">
      <c r="A567" s="178"/>
      <c r="B567" s="178"/>
      <c r="C567" s="178"/>
      <c r="D567" s="178"/>
      <c r="E567" s="178"/>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7.25" customHeight="1">
      <c r="A568" s="178"/>
      <c r="B568" s="178"/>
      <c r="C568" s="178"/>
      <c r="D568" s="178"/>
      <c r="E568" s="178"/>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7.25" customHeight="1">
      <c r="A569" s="178"/>
      <c r="B569" s="178"/>
      <c r="C569" s="178"/>
      <c r="D569" s="178"/>
      <c r="E569" s="178"/>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7.25" customHeight="1">
      <c r="A570" s="178"/>
      <c r="B570" s="178"/>
      <c r="C570" s="178"/>
      <c r="D570" s="178"/>
      <c r="E570" s="178"/>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7.25" customHeight="1">
      <c r="A571" s="178"/>
      <c r="B571" s="178"/>
      <c r="C571" s="178"/>
      <c r="D571" s="178"/>
      <c r="E571" s="178"/>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7.25" customHeight="1">
      <c r="A572" s="178"/>
      <c r="B572" s="178"/>
      <c r="C572" s="178"/>
      <c r="D572" s="178"/>
      <c r="E572" s="178"/>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7.25" customHeight="1">
      <c r="A573" s="178"/>
      <c r="B573" s="178"/>
      <c r="C573" s="178"/>
      <c r="D573" s="178"/>
      <c r="E573" s="178"/>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7.25" customHeight="1">
      <c r="A574" s="178"/>
      <c r="B574" s="178"/>
      <c r="C574" s="178"/>
      <c r="D574" s="178"/>
      <c r="E574" s="178"/>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7.25" customHeight="1">
      <c r="A575" s="178"/>
      <c r="B575" s="178"/>
      <c r="C575" s="178"/>
      <c r="D575" s="178"/>
      <c r="E575" s="178"/>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7.25" customHeight="1">
      <c r="A576" s="178"/>
      <c r="B576" s="178"/>
      <c r="C576" s="178"/>
      <c r="D576" s="178"/>
      <c r="E576" s="178"/>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7.25" customHeight="1">
      <c r="A577" s="178"/>
      <c r="B577" s="178"/>
      <c r="C577" s="178"/>
      <c r="D577" s="178"/>
      <c r="E577" s="178"/>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7.25" customHeight="1">
      <c r="A578" s="178"/>
      <c r="B578" s="178"/>
      <c r="C578" s="178"/>
      <c r="D578" s="178"/>
      <c r="E578" s="178"/>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7.25" customHeight="1">
      <c r="A579" s="178"/>
      <c r="B579" s="178"/>
      <c r="C579" s="178"/>
      <c r="D579" s="178"/>
      <c r="E579" s="178"/>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7.25" customHeight="1">
      <c r="A580" s="178"/>
      <c r="B580" s="178"/>
      <c r="C580" s="178"/>
      <c r="D580" s="178"/>
      <c r="E580" s="178"/>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7.25" customHeight="1">
      <c r="A581" s="178"/>
      <c r="B581" s="178"/>
      <c r="C581" s="178"/>
      <c r="D581" s="178"/>
      <c r="E581" s="178"/>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7.25" customHeight="1">
      <c r="A582" s="178"/>
      <c r="B582" s="178"/>
      <c r="C582" s="178"/>
      <c r="D582" s="178"/>
      <c r="E582" s="178"/>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7.25" customHeight="1">
      <c r="A583" s="178"/>
      <c r="B583" s="178"/>
      <c r="C583" s="178"/>
      <c r="D583" s="178"/>
      <c r="E583" s="178"/>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7.25" customHeight="1">
      <c r="A584" s="178"/>
      <c r="B584" s="178"/>
      <c r="C584" s="178"/>
      <c r="D584" s="178"/>
      <c r="E584" s="178"/>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7.25" customHeight="1">
      <c r="A585" s="178"/>
      <c r="B585" s="178"/>
      <c r="C585" s="178"/>
      <c r="D585" s="178"/>
      <c r="E585" s="178"/>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7.25" customHeight="1">
      <c r="A586" s="178"/>
      <c r="B586" s="178"/>
      <c r="C586" s="178"/>
      <c r="D586" s="178"/>
      <c r="E586" s="178"/>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7.25" customHeight="1">
      <c r="A587" s="178"/>
      <c r="B587" s="178"/>
      <c r="C587" s="178"/>
      <c r="D587" s="178"/>
      <c r="E587" s="178"/>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7.25" customHeight="1">
      <c r="A588" s="178"/>
      <c r="B588" s="178"/>
      <c r="C588" s="178"/>
      <c r="D588" s="178"/>
      <c r="E588" s="178"/>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7.25" customHeight="1">
      <c r="A589" s="178"/>
      <c r="B589" s="178"/>
      <c r="C589" s="178"/>
      <c r="D589" s="178"/>
      <c r="E589" s="178"/>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7.25" customHeight="1">
      <c r="A590" s="178"/>
      <c r="B590" s="178"/>
      <c r="C590" s="178"/>
      <c r="D590" s="178"/>
      <c r="E590" s="178"/>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7.25" customHeight="1">
      <c r="A591" s="178"/>
      <c r="B591" s="178"/>
      <c r="C591" s="178"/>
      <c r="D591" s="178"/>
      <c r="E591" s="178"/>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7.25" customHeight="1">
      <c r="A592" s="178"/>
      <c r="B592" s="178"/>
      <c r="C592" s="178"/>
      <c r="D592" s="178"/>
      <c r="E592" s="178"/>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7.25" customHeight="1">
      <c r="A593" s="178"/>
      <c r="B593" s="178"/>
      <c r="C593" s="178"/>
      <c r="D593" s="178"/>
      <c r="E593" s="178"/>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7.25" customHeight="1">
      <c r="A594" s="178"/>
      <c r="B594" s="178"/>
      <c r="C594" s="178"/>
      <c r="D594" s="178"/>
      <c r="E594" s="178"/>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7.25" customHeight="1">
      <c r="A595" s="178"/>
      <c r="B595" s="178"/>
      <c r="C595" s="178"/>
      <c r="D595" s="178"/>
      <c r="E595" s="178"/>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7.25" customHeight="1">
      <c r="A596" s="178"/>
      <c r="B596" s="178"/>
      <c r="C596" s="178"/>
      <c r="D596" s="178"/>
      <c r="E596" s="178"/>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7.25" customHeight="1">
      <c r="A597" s="178"/>
      <c r="B597" s="178"/>
      <c r="C597" s="178"/>
      <c r="D597" s="178"/>
      <c r="E597" s="178"/>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7.25" customHeight="1">
      <c r="A598" s="178"/>
      <c r="B598" s="178"/>
      <c r="C598" s="178"/>
      <c r="D598" s="178"/>
      <c r="E598" s="178"/>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7.25" customHeight="1">
      <c r="A599" s="178"/>
      <c r="B599" s="178"/>
      <c r="C599" s="178"/>
      <c r="D599" s="178"/>
      <c r="E599" s="178"/>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7.25" customHeight="1">
      <c r="A600" s="178"/>
      <c r="B600" s="178"/>
      <c r="C600" s="178"/>
      <c r="D600" s="178"/>
      <c r="E600" s="178"/>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7.25" customHeight="1">
      <c r="A601" s="178"/>
      <c r="B601" s="178"/>
      <c r="C601" s="178"/>
      <c r="D601" s="178"/>
      <c r="E601" s="178"/>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7.25" customHeight="1">
      <c r="A602" s="178"/>
      <c r="B602" s="178"/>
      <c r="C602" s="178"/>
      <c r="D602" s="178"/>
      <c r="E602" s="178"/>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7.25" customHeight="1">
      <c r="A603" s="178"/>
      <c r="B603" s="178"/>
      <c r="C603" s="178"/>
      <c r="D603" s="178"/>
      <c r="E603" s="178"/>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7.25" customHeight="1">
      <c r="A604" s="178"/>
      <c r="B604" s="178"/>
      <c r="C604" s="178"/>
      <c r="D604" s="178"/>
      <c r="E604" s="178"/>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7.25" customHeight="1">
      <c r="A605" s="178"/>
      <c r="B605" s="178"/>
      <c r="C605" s="178"/>
      <c r="D605" s="178"/>
      <c r="E605" s="178"/>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7.25" customHeight="1">
      <c r="A606" s="178"/>
      <c r="B606" s="178"/>
      <c r="C606" s="178"/>
      <c r="D606" s="178"/>
      <c r="E606" s="178"/>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7.25" customHeight="1">
      <c r="A607" s="178"/>
      <c r="B607" s="178"/>
      <c r="C607" s="178"/>
      <c r="D607" s="178"/>
      <c r="E607" s="178"/>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7.25" customHeight="1">
      <c r="A608" s="178"/>
      <c r="B608" s="178"/>
      <c r="C608" s="178"/>
      <c r="D608" s="178"/>
      <c r="E608" s="178"/>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7.25" customHeight="1">
      <c r="A609" s="178"/>
      <c r="B609" s="178"/>
      <c r="C609" s="178"/>
      <c r="D609" s="178"/>
      <c r="E609" s="178"/>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7.25" customHeight="1">
      <c r="A610" s="178"/>
      <c r="B610" s="178"/>
      <c r="C610" s="178"/>
      <c r="D610" s="178"/>
      <c r="E610" s="178"/>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7.25" customHeight="1">
      <c r="A611" s="178"/>
      <c r="B611" s="178"/>
      <c r="C611" s="178"/>
      <c r="D611" s="178"/>
      <c r="E611" s="178"/>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7.25" customHeight="1">
      <c r="A612" s="178"/>
      <c r="B612" s="178"/>
      <c r="C612" s="178"/>
      <c r="D612" s="178"/>
      <c r="E612" s="178"/>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7.25" customHeight="1">
      <c r="A613" s="178"/>
      <c r="B613" s="178"/>
      <c r="C613" s="178"/>
      <c r="D613" s="178"/>
      <c r="E613" s="178"/>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7.25" customHeight="1">
      <c r="A614" s="178"/>
      <c r="B614" s="178"/>
      <c r="C614" s="178"/>
      <c r="D614" s="178"/>
      <c r="E614" s="178"/>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7.25" customHeight="1">
      <c r="A615" s="178"/>
      <c r="B615" s="178"/>
      <c r="C615" s="178"/>
      <c r="D615" s="178"/>
      <c r="E615" s="178"/>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7.25" customHeight="1">
      <c r="A616" s="178"/>
      <c r="B616" s="178"/>
      <c r="C616" s="178"/>
      <c r="D616" s="178"/>
      <c r="E616" s="178"/>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7.25" customHeight="1">
      <c r="A617" s="178"/>
      <c r="B617" s="178"/>
      <c r="C617" s="178"/>
      <c r="D617" s="178"/>
      <c r="E617" s="178"/>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7.25" customHeight="1">
      <c r="A618" s="178"/>
      <c r="B618" s="178"/>
      <c r="C618" s="178"/>
      <c r="D618" s="178"/>
      <c r="E618" s="178"/>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7.25" customHeight="1">
      <c r="A619" s="178"/>
      <c r="B619" s="178"/>
      <c r="C619" s="178"/>
      <c r="D619" s="178"/>
      <c r="E619" s="178"/>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7.25" customHeight="1">
      <c r="A620" s="178"/>
      <c r="B620" s="178"/>
      <c r="C620" s="178"/>
      <c r="D620" s="178"/>
      <c r="E620" s="178"/>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7.25" customHeight="1">
      <c r="A621" s="178"/>
      <c r="B621" s="178"/>
      <c r="C621" s="178"/>
      <c r="D621" s="178"/>
      <c r="E621" s="178"/>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7.25" customHeight="1">
      <c r="A622" s="178"/>
      <c r="B622" s="178"/>
      <c r="C622" s="178"/>
      <c r="D622" s="178"/>
      <c r="E622" s="178"/>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7.25" customHeight="1">
      <c r="A623" s="178"/>
      <c r="B623" s="178"/>
      <c r="C623" s="178"/>
      <c r="D623" s="178"/>
      <c r="E623" s="178"/>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7.25" customHeight="1">
      <c r="A624" s="178"/>
      <c r="B624" s="178"/>
      <c r="C624" s="178"/>
      <c r="D624" s="178"/>
      <c r="E624" s="178"/>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7.25" customHeight="1">
      <c r="A625" s="178"/>
      <c r="B625" s="178"/>
      <c r="C625" s="178"/>
      <c r="D625" s="178"/>
      <c r="E625" s="178"/>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7.25" customHeight="1">
      <c r="A626" s="178"/>
      <c r="B626" s="178"/>
      <c r="C626" s="178"/>
      <c r="D626" s="178"/>
      <c r="E626" s="178"/>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7.25" customHeight="1">
      <c r="A627" s="178"/>
      <c r="B627" s="178"/>
      <c r="C627" s="178"/>
      <c r="D627" s="178"/>
      <c r="E627" s="178"/>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7.25" customHeight="1">
      <c r="A628" s="178"/>
      <c r="B628" s="178"/>
      <c r="C628" s="178"/>
      <c r="D628" s="178"/>
      <c r="E628" s="178"/>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7.25" customHeight="1">
      <c r="A629" s="178"/>
      <c r="B629" s="178"/>
      <c r="C629" s="178"/>
      <c r="D629" s="178"/>
      <c r="E629" s="178"/>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7.25" customHeight="1">
      <c r="A630" s="178"/>
      <c r="B630" s="178"/>
      <c r="C630" s="178"/>
      <c r="D630" s="178"/>
      <c r="E630" s="178"/>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7.25" customHeight="1">
      <c r="A631" s="178"/>
      <c r="B631" s="178"/>
      <c r="C631" s="178"/>
      <c r="D631" s="178"/>
      <c r="E631" s="178"/>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7.25" customHeight="1">
      <c r="A632" s="178"/>
      <c r="B632" s="178"/>
      <c r="C632" s="178"/>
      <c r="D632" s="178"/>
      <c r="E632" s="178"/>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7.25" customHeight="1">
      <c r="A633" s="178"/>
      <c r="B633" s="178"/>
      <c r="C633" s="178"/>
      <c r="D633" s="178"/>
      <c r="E633" s="178"/>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7.25" customHeight="1">
      <c r="A634" s="178"/>
      <c r="B634" s="178"/>
      <c r="C634" s="178"/>
      <c r="D634" s="178"/>
      <c r="E634" s="178"/>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7.25" customHeight="1">
      <c r="A635" s="178"/>
      <c r="B635" s="178"/>
      <c r="C635" s="178"/>
      <c r="D635" s="178"/>
      <c r="E635" s="178"/>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7.25" customHeight="1">
      <c r="A636" s="178"/>
      <c r="B636" s="178"/>
      <c r="C636" s="178"/>
      <c r="D636" s="178"/>
      <c r="E636" s="178"/>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7.25" customHeight="1">
      <c r="A637" s="178"/>
      <c r="B637" s="178"/>
      <c r="C637" s="178"/>
      <c r="D637" s="178"/>
      <c r="E637" s="178"/>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7.25" customHeight="1">
      <c r="A638" s="178"/>
      <c r="B638" s="178"/>
      <c r="C638" s="178"/>
      <c r="D638" s="178"/>
      <c r="E638" s="178"/>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7.25" customHeight="1">
      <c r="A639" s="178"/>
      <c r="B639" s="178"/>
      <c r="C639" s="178"/>
      <c r="D639" s="178"/>
      <c r="E639" s="178"/>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7.25" customHeight="1">
      <c r="A640" s="178"/>
      <c r="B640" s="178"/>
      <c r="C640" s="178"/>
      <c r="D640" s="178"/>
      <c r="E640" s="178"/>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7.25" customHeight="1">
      <c r="A641" s="178"/>
      <c r="B641" s="178"/>
      <c r="C641" s="178"/>
      <c r="D641" s="178"/>
      <c r="E641" s="178"/>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7.25" customHeight="1">
      <c r="A642" s="178"/>
      <c r="B642" s="178"/>
      <c r="C642" s="178"/>
      <c r="D642" s="178"/>
      <c r="E642" s="178"/>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7.25" customHeight="1">
      <c r="A643" s="178"/>
      <c r="B643" s="178"/>
      <c r="C643" s="178"/>
      <c r="D643" s="178"/>
      <c r="E643" s="178"/>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7.25" customHeight="1">
      <c r="A644" s="178"/>
      <c r="B644" s="178"/>
      <c r="C644" s="178"/>
      <c r="D644" s="178"/>
      <c r="E644" s="178"/>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7.25" customHeight="1">
      <c r="A645" s="178"/>
      <c r="B645" s="178"/>
      <c r="C645" s="178"/>
      <c r="D645" s="178"/>
      <c r="E645" s="178"/>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7.25" customHeight="1">
      <c r="A646" s="178"/>
      <c r="B646" s="178"/>
      <c r="C646" s="178"/>
      <c r="D646" s="178"/>
      <c r="E646" s="178"/>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7.25" customHeight="1">
      <c r="A647" s="178"/>
      <c r="B647" s="178"/>
      <c r="C647" s="178"/>
      <c r="D647" s="178"/>
      <c r="E647" s="178"/>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7.25" customHeight="1">
      <c r="A648" s="178"/>
      <c r="B648" s="178"/>
      <c r="C648" s="178"/>
      <c r="D648" s="178"/>
      <c r="E648" s="178"/>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7.25" customHeight="1">
      <c r="A649" s="178"/>
      <c r="B649" s="178"/>
      <c r="C649" s="178"/>
      <c r="D649" s="178"/>
      <c r="E649" s="178"/>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7.25" customHeight="1">
      <c r="A650" s="178"/>
      <c r="B650" s="178"/>
      <c r="C650" s="178"/>
      <c r="D650" s="178"/>
      <c r="E650" s="178"/>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7.25" customHeight="1">
      <c r="A651" s="178"/>
      <c r="B651" s="178"/>
      <c r="C651" s="178"/>
      <c r="D651" s="178"/>
      <c r="E651" s="178"/>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7.25" customHeight="1">
      <c r="A652" s="178"/>
      <c r="B652" s="178"/>
      <c r="C652" s="178"/>
      <c r="D652" s="178"/>
      <c r="E652" s="178"/>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7.25" customHeight="1">
      <c r="A653" s="178"/>
      <c r="B653" s="178"/>
      <c r="C653" s="178"/>
      <c r="D653" s="178"/>
      <c r="E653" s="178"/>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7.25" customHeight="1">
      <c r="A654" s="178"/>
      <c r="B654" s="178"/>
      <c r="C654" s="178"/>
      <c r="D654" s="178"/>
      <c r="E654" s="178"/>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7.25" customHeight="1">
      <c r="A655" s="178"/>
      <c r="B655" s="178"/>
      <c r="C655" s="178"/>
      <c r="D655" s="178"/>
      <c r="E655" s="178"/>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7.25" customHeight="1">
      <c r="A656" s="178"/>
      <c r="B656" s="178"/>
      <c r="C656" s="178"/>
      <c r="D656" s="178"/>
      <c r="E656" s="178"/>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7.25" customHeight="1">
      <c r="A657" s="178"/>
      <c r="B657" s="178"/>
      <c r="C657" s="178"/>
      <c r="D657" s="178"/>
      <c r="E657" s="178"/>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7.25" customHeight="1">
      <c r="A658" s="178"/>
      <c r="B658" s="178"/>
      <c r="C658" s="178"/>
      <c r="D658" s="178"/>
      <c r="E658" s="178"/>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7.25" customHeight="1">
      <c r="A659" s="178"/>
      <c r="B659" s="178"/>
      <c r="C659" s="178"/>
      <c r="D659" s="178"/>
      <c r="E659" s="178"/>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7.25" customHeight="1">
      <c r="A660" s="178"/>
      <c r="B660" s="178"/>
      <c r="C660" s="178"/>
      <c r="D660" s="178"/>
      <c r="E660" s="178"/>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7.25" customHeight="1">
      <c r="A661" s="178"/>
      <c r="B661" s="178"/>
      <c r="C661" s="178"/>
      <c r="D661" s="178"/>
      <c r="E661" s="178"/>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7.25" customHeight="1">
      <c r="A662" s="178"/>
      <c r="B662" s="178"/>
      <c r="C662" s="178"/>
      <c r="D662" s="178"/>
      <c r="E662" s="178"/>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7.25" customHeight="1">
      <c r="A663" s="178"/>
      <c r="B663" s="178"/>
      <c r="C663" s="178"/>
      <c r="D663" s="178"/>
      <c r="E663" s="178"/>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7.25" customHeight="1">
      <c r="A664" s="178"/>
      <c r="B664" s="178"/>
      <c r="C664" s="178"/>
      <c r="D664" s="178"/>
      <c r="E664" s="178"/>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7.25" customHeight="1">
      <c r="A665" s="178"/>
      <c r="B665" s="178"/>
      <c r="C665" s="178"/>
      <c r="D665" s="178"/>
      <c r="E665" s="178"/>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7.25" customHeight="1">
      <c r="A666" s="178"/>
      <c r="B666" s="178"/>
      <c r="C666" s="178"/>
      <c r="D666" s="178"/>
      <c r="E666" s="178"/>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7.25" customHeight="1">
      <c r="A667" s="178"/>
      <c r="B667" s="178"/>
      <c r="C667" s="178"/>
      <c r="D667" s="178"/>
      <c r="E667" s="178"/>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7.25" customHeight="1">
      <c r="A668" s="178"/>
      <c r="B668" s="178"/>
      <c r="C668" s="178"/>
      <c r="D668" s="178"/>
      <c r="E668" s="178"/>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7.25" customHeight="1">
      <c r="A669" s="178"/>
      <c r="B669" s="178"/>
      <c r="C669" s="178"/>
      <c r="D669" s="178"/>
      <c r="E669" s="178"/>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7.25" customHeight="1">
      <c r="A670" s="178"/>
      <c r="B670" s="178"/>
      <c r="C670" s="178"/>
      <c r="D670" s="178"/>
      <c r="E670" s="178"/>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7.25" customHeight="1">
      <c r="A671" s="178"/>
      <c r="B671" s="178"/>
      <c r="C671" s="178"/>
      <c r="D671" s="178"/>
      <c r="E671" s="178"/>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7.25" customHeight="1">
      <c r="A672" s="178"/>
      <c r="B672" s="178"/>
      <c r="C672" s="178"/>
      <c r="D672" s="178"/>
      <c r="E672" s="178"/>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7.25" customHeight="1">
      <c r="A673" s="178"/>
      <c r="B673" s="178"/>
      <c r="C673" s="178"/>
      <c r="D673" s="178"/>
      <c r="E673" s="178"/>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7.25" customHeight="1">
      <c r="A674" s="178"/>
      <c r="B674" s="178"/>
      <c r="C674" s="178"/>
      <c r="D674" s="178"/>
      <c r="E674" s="178"/>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7.25" customHeight="1">
      <c r="A675" s="178"/>
      <c r="B675" s="178"/>
      <c r="C675" s="178"/>
      <c r="D675" s="178"/>
      <c r="E675" s="178"/>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7.25" customHeight="1">
      <c r="A676" s="178"/>
      <c r="B676" s="178"/>
      <c r="C676" s="178"/>
      <c r="D676" s="178"/>
      <c r="E676" s="178"/>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7.25" customHeight="1">
      <c r="A677" s="178"/>
      <c r="B677" s="178"/>
      <c r="C677" s="178"/>
      <c r="D677" s="178"/>
      <c r="E677" s="178"/>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7.25" customHeight="1">
      <c r="A678" s="178"/>
      <c r="B678" s="178"/>
      <c r="C678" s="178"/>
      <c r="D678" s="178"/>
      <c r="E678" s="178"/>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7.25" customHeight="1">
      <c r="A679" s="178"/>
      <c r="B679" s="178"/>
      <c r="C679" s="178"/>
      <c r="D679" s="178"/>
      <c r="E679" s="178"/>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7.25" customHeight="1">
      <c r="A680" s="178"/>
      <c r="B680" s="178"/>
      <c r="C680" s="178"/>
      <c r="D680" s="178"/>
      <c r="E680" s="178"/>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7.25" customHeight="1">
      <c r="A681" s="178"/>
      <c r="B681" s="178"/>
      <c r="C681" s="178"/>
      <c r="D681" s="178"/>
      <c r="E681" s="178"/>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7.25" customHeight="1">
      <c r="A682" s="178"/>
      <c r="B682" s="178"/>
      <c r="C682" s="178"/>
      <c r="D682" s="178"/>
      <c r="E682" s="178"/>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7.25" customHeight="1">
      <c r="A683" s="178"/>
      <c r="B683" s="178"/>
      <c r="C683" s="178"/>
      <c r="D683" s="178"/>
      <c r="E683" s="178"/>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7.25" customHeight="1">
      <c r="A684" s="178"/>
      <c r="B684" s="178"/>
      <c r="C684" s="178"/>
      <c r="D684" s="178"/>
      <c r="E684" s="178"/>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7.25" customHeight="1">
      <c r="A685" s="178"/>
      <c r="B685" s="178"/>
      <c r="C685" s="178"/>
      <c r="D685" s="178"/>
      <c r="E685" s="178"/>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7.25" customHeight="1">
      <c r="A686" s="178"/>
      <c r="B686" s="178"/>
      <c r="C686" s="178"/>
      <c r="D686" s="178"/>
      <c r="E686" s="178"/>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7.25" customHeight="1">
      <c r="A687" s="178"/>
      <c r="B687" s="178"/>
      <c r="C687" s="178"/>
      <c r="D687" s="178"/>
      <c r="E687" s="178"/>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7.25" customHeight="1">
      <c r="A688" s="178"/>
      <c r="B688" s="178"/>
      <c r="C688" s="178"/>
      <c r="D688" s="178"/>
      <c r="E688" s="178"/>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7.25" customHeight="1">
      <c r="A689" s="178"/>
      <c r="B689" s="178"/>
      <c r="C689" s="178"/>
      <c r="D689" s="178"/>
      <c r="E689" s="178"/>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7.25" customHeight="1">
      <c r="A690" s="178"/>
      <c r="B690" s="178"/>
      <c r="C690" s="178"/>
      <c r="D690" s="178"/>
      <c r="E690" s="178"/>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7.25" customHeight="1">
      <c r="A691" s="178"/>
      <c r="B691" s="178"/>
      <c r="C691" s="178"/>
      <c r="D691" s="178"/>
      <c r="E691" s="178"/>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7.25" customHeight="1">
      <c r="A692" s="178"/>
      <c r="B692" s="178"/>
      <c r="C692" s="178"/>
      <c r="D692" s="178"/>
      <c r="E692" s="178"/>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7.25" customHeight="1">
      <c r="A693" s="178"/>
      <c r="B693" s="178"/>
      <c r="C693" s="178"/>
      <c r="D693" s="178"/>
      <c r="E693" s="178"/>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7.25" customHeight="1">
      <c r="A694" s="178"/>
      <c r="B694" s="178"/>
      <c r="C694" s="178"/>
      <c r="D694" s="178"/>
      <c r="E694" s="178"/>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7.25" customHeight="1">
      <c r="A695" s="178"/>
      <c r="B695" s="178"/>
      <c r="C695" s="178"/>
      <c r="D695" s="178"/>
      <c r="E695" s="178"/>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7.25" customHeight="1">
      <c r="A696" s="178"/>
      <c r="B696" s="178"/>
      <c r="C696" s="178"/>
      <c r="D696" s="178"/>
      <c r="E696" s="178"/>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7.25" customHeight="1">
      <c r="A697" s="178"/>
      <c r="B697" s="178"/>
      <c r="C697" s="178"/>
      <c r="D697" s="178"/>
      <c r="E697" s="178"/>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7.25" customHeight="1">
      <c r="A698" s="178"/>
      <c r="B698" s="178"/>
      <c r="C698" s="178"/>
      <c r="D698" s="178"/>
      <c r="E698" s="178"/>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7.25" customHeight="1">
      <c r="A699" s="178"/>
      <c r="B699" s="178"/>
      <c r="C699" s="178"/>
      <c r="D699" s="178"/>
      <c r="E699" s="178"/>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7.25" customHeight="1">
      <c r="A700" s="178"/>
      <c r="B700" s="178"/>
      <c r="C700" s="178"/>
      <c r="D700" s="178"/>
      <c r="E700" s="178"/>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7.25" customHeight="1">
      <c r="A701" s="178"/>
      <c r="B701" s="178"/>
      <c r="C701" s="178"/>
      <c r="D701" s="178"/>
      <c r="E701" s="178"/>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7.25" customHeight="1">
      <c r="A702" s="178"/>
      <c r="B702" s="178"/>
      <c r="C702" s="178"/>
      <c r="D702" s="178"/>
      <c r="E702" s="178"/>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7.25" customHeight="1">
      <c r="A703" s="178"/>
      <c r="B703" s="178"/>
      <c r="C703" s="178"/>
      <c r="D703" s="178"/>
      <c r="E703" s="178"/>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7.25" customHeight="1">
      <c r="A704" s="178"/>
      <c r="B704" s="178"/>
      <c r="C704" s="178"/>
      <c r="D704" s="178"/>
      <c r="E704" s="178"/>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7.25" customHeight="1">
      <c r="A705" s="178"/>
      <c r="B705" s="178"/>
      <c r="C705" s="178"/>
      <c r="D705" s="178"/>
      <c r="E705" s="178"/>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7.25" customHeight="1">
      <c r="A706" s="178"/>
      <c r="B706" s="178"/>
      <c r="C706" s="178"/>
      <c r="D706" s="178"/>
      <c r="E706" s="178"/>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7.25" customHeight="1">
      <c r="A707" s="178"/>
      <c r="B707" s="178"/>
      <c r="C707" s="178"/>
      <c r="D707" s="178"/>
      <c r="E707" s="178"/>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7.25" customHeight="1">
      <c r="A708" s="178"/>
      <c r="B708" s="178"/>
      <c r="C708" s="178"/>
      <c r="D708" s="178"/>
      <c r="E708" s="178"/>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7.25" customHeight="1">
      <c r="A709" s="178"/>
      <c r="B709" s="178"/>
      <c r="C709" s="178"/>
      <c r="D709" s="178"/>
      <c r="E709" s="178"/>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7.25" customHeight="1">
      <c r="A710" s="178"/>
      <c r="B710" s="178"/>
      <c r="C710" s="178"/>
      <c r="D710" s="178"/>
      <c r="E710" s="178"/>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7.25" customHeight="1">
      <c r="A711" s="178"/>
      <c r="B711" s="178"/>
      <c r="C711" s="178"/>
      <c r="D711" s="178"/>
      <c r="E711" s="178"/>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7.25" customHeight="1">
      <c r="A712" s="178"/>
      <c r="B712" s="178"/>
      <c r="C712" s="178"/>
      <c r="D712" s="178"/>
      <c r="E712" s="178"/>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7.25" customHeight="1">
      <c r="A713" s="178"/>
      <c r="B713" s="178"/>
      <c r="C713" s="178"/>
      <c r="D713" s="178"/>
      <c r="E713" s="178"/>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7.25" customHeight="1">
      <c r="A714" s="178"/>
      <c r="B714" s="178"/>
      <c r="C714" s="178"/>
      <c r="D714" s="178"/>
      <c r="E714" s="178"/>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7.25" customHeight="1">
      <c r="A715" s="178"/>
      <c r="B715" s="178"/>
      <c r="C715" s="178"/>
      <c r="D715" s="178"/>
      <c r="E715" s="178"/>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7.25" customHeight="1">
      <c r="A716" s="178"/>
      <c r="B716" s="178"/>
      <c r="C716" s="178"/>
      <c r="D716" s="178"/>
      <c r="E716" s="178"/>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7.25" customHeight="1">
      <c r="A717" s="178"/>
      <c r="B717" s="178"/>
      <c r="C717" s="178"/>
      <c r="D717" s="178"/>
      <c r="E717" s="178"/>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7.25" customHeight="1">
      <c r="A718" s="178"/>
      <c r="B718" s="178"/>
      <c r="C718" s="178"/>
      <c r="D718" s="178"/>
      <c r="E718" s="178"/>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7.25" customHeight="1">
      <c r="A719" s="178"/>
      <c r="B719" s="178"/>
      <c r="C719" s="178"/>
      <c r="D719" s="178"/>
      <c r="E719" s="178"/>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7.25" customHeight="1">
      <c r="A720" s="178"/>
      <c r="B720" s="178"/>
      <c r="C720" s="178"/>
      <c r="D720" s="178"/>
      <c r="E720" s="178"/>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7.25" customHeight="1">
      <c r="A721" s="178"/>
      <c r="B721" s="178"/>
      <c r="C721" s="178"/>
      <c r="D721" s="178"/>
      <c r="E721" s="178"/>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7.25" customHeight="1">
      <c r="A722" s="178"/>
      <c r="B722" s="178"/>
      <c r="C722" s="178"/>
      <c r="D722" s="178"/>
      <c r="E722" s="178"/>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7.25" customHeight="1">
      <c r="A723" s="178"/>
      <c r="B723" s="178"/>
      <c r="C723" s="178"/>
      <c r="D723" s="178"/>
      <c r="E723" s="178"/>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7.25" customHeight="1">
      <c r="A724" s="178"/>
      <c r="B724" s="178"/>
      <c r="C724" s="178"/>
      <c r="D724" s="178"/>
      <c r="E724" s="178"/>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7.25" customHeight="1">
      <c r="A725" s="178"/>
      <c r="B725" s="178"/>
      <c r="C725" s="178"/>
      <c r="D725" s="178"/>
      <c r="E725" s="178"/>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7.25" customHeight="1">
      <c r="A726" s="178"/>
      <c r="B726" s="178"/>
      <c r="C726" s="178"/>
      <c r="D726" s="178"/>
      <c r="E726" s="178"/>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7.25" customHeight="1">
      <c r="A727" s="178"/>
      <c r="B727" s="178"/>
      <c r="C727" s="178"/>
      <c r="D727" s="178"/>
      <c r="E727" s="178"/>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7.25" customHeight="1">
      <c r="A728" s="178"/>
      <c r="B728" s="178"/>
      <c r="C728" s="178"/>
      <c r="D728" s="178"/>
      <c r="E728" s="178"/>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7.25" customHeight="1">
      <c r="A729" s="178"/>
      <c r="B729" s="178"/>
      <c r="C729" s="178"/>
      <c r="D729" s="178"/>
      <c r="E729" s="178"/>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7.25" customHeight="1">
      <c r="A730" s="178"/>
      <c r="B730" s="178"/>
      <c r="C730" s="178"/>
      <c r="D730" s="178"/>
      <c r="E730" s="178"/>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7.25" customHeight="1">
      <c r="A731" s="178"/>
      <c r="B731" s="178"/>
      <c r="C731" s="178"/>
      <c r="D731" s="178"/>
      <c r="E731" s="178"/>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7.25" customHeight="1">
      <c r="A732" s="178"/>
      <c r="B732" s="178"/>
      <c r="C732" s="178"/>
      <c r="D732" s="178"/>
      <c r="E732" s="178"/>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7.25" customHeight="1">
      <c r="A733" s="178"/>
      <c r="B733" s="178"/>
      <c r="C733" s="178"/>
      <c r="D733" s="178"/>
      <c r="E733" s="178"/>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7.25" customHeight="1">
      <c r="A734" s="178"/>
      <c r="B734" s="178"/>
      <c r="C734" s="178"/>
      <c r="D734" s="178"/>
      <c r="E734" s="178"/>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7.25" customHeight="1">
      <c r="A735" s="178"/>
      <c r="B735" s="178"/>
      <c r="C735" s="178"/>
      <c r="D735" s="178"/>
      <c r="E735" s="178"/>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7.25" customHeight="1">
      <c r="A736" s="178"/>
      <c r="B736" s="178"/>
      <c r="C736" s="178"/>
      <c r="D736" s="178"/>
      <c r="E736" s="178"/>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7.25" customHeight="1">
      <c r="A737" s="178"/>
      <c r="B737" s="178"/>
      <c r="C737" s="178"/>
      <c r="D737" s="178"/>
      <c r="E737" s="178"/>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7.25" customHeight="1">
      <c r="A738" s="178"/>
      <c r="B738" s="178"/>
      <c r="C738" s="178"/>
      <c r="D738" s="178"/>
      <c r="E738" s="178"/>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7.25" customHeight="1">
      <c r="A739" s="178"/>
      <c r="B739" s="178"/>
      <c r="C739" s="178"/>
      <c r="D739" s="178"/>
      <c r="E739" s="178"/>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7.25" customHeight="1">
      <c r="A740" s="178"/>
      <c r="B740" s="178"/>
      <c r="C740" s="178"/>
      <c r="D740" s="178"/>
      <c r="E740" s="178"/>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7.25" customHeight="1">
      <c r="A741" s="178"/>
      <c r="B741" s="178"/>
      <c r="C741" s="178"/>
      <c r="D741" s="178"/>
      <c r="E741" s="178"/>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7.25" customHeight="1">
      <c r="A742" s="178"/>
      <c r="B742" s="178"/>
      <c r="C742" s="178"/>
      <c r="D742" s="178"/>
      <c r="E742" s="178"/>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7.25" customHeight="1">
      <c r="A743" s="178"/>
      <c r="B743" s="178"/>
      <c r="C743" s="178"/>
      <c r="D743" s="178"/>
      <c r="E743" s="178"/>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7.25" customHeight="1">
      <c r="A744" s="178"/>
      <c r="B744" s="178"/>
      <c r="C744" s="178"/>
      <c r="D744" s="178"/>
      <c r="E744" s="178"/>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7.25" customHeight="1">
      <c r="A745" s="178"/>
      <c r="B745" s="178"/>
      <c r="C745" s="178"/>
      <c r="D745" s="178"/>
      <c r="E745" s="178"/>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7.25" customHeight="1">
      <c r="A746" s="178"/>
      <c r="B746" s="178"/>
      <c r="C746" s="178"/>
      <c r="D746" s="178"/>
      <c r="E746" s="178"/>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7.25" customHeight="1">
      <c r="A747" s="178"/>
      <c r="B747" s="178"/>
      <c r="C747" s="178"/>
      <c r="D747" s="178"/>
      <c r="E747" s="178"/>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7.25" customHeight="1">
      <c r="A748" s="178"/>
      <c r="B748" s="178"/>
      <c r="C748" s="178"/>
      <c r="D748" s="178"/>
      <c r="E748" s="178"/>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7.25" customHeight="1">
      <c r="A749" s="178"/>
      <c r="B749" s="178"/>
      <c r="C749" s="178"/>
      <c r="D749" s="178"/>
      <c r="E749" s="178"/>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7.25" customHeight="1">
      <c r="A750" s="178"/>
      <c r="B750" s="178"/>
      <c r="C750" s="178"/>
      <c r="D750" s="178"/>
      <c r="E750" s="178"/>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7.25" customHeight="1">
      <c r="A751" s="178"/>
      <c r="B751" s="178"/>
      <c r="C751" s="178"/>
      <c r="D751" s="178"/>
      <c r="E751" s="178"/>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7.25" customHeight="1">
      <c r="A752" s="178"/>
      <c r="B752" s="178"/>
      <c r="C752" s="178"/>
      <c r="D752" s="178"/>
      <c r="E752" s="178"/>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7.25" customHeight="1">
      <c r="A753" s="178"/>
      <c r="B753" s="178"/>
      <c r="C753" s="178"/>
      <c r="D753" s="178"/>
      <c r="E753" s="178"/>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7.25" customHeight="1">
      <c r="A754" s="178"/>
      <c r="B754" s="178"/>
      <c r="C754" s="178"/>
      <c r="D754" s="178"/>
      <c r="E754" s="178"/>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7.25" customHeight="1">
      <c r="A755" s="178"/>
      <c r="B755" s="178"/>
      <c r="C755" s="178"/>
      <c r="D755" s="178"/>
      <c r="E755" s="178"/>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7.25" customHeight="1">
      <c r="A756" s="178"/>
      <c r="B756" s="178"/>
      <c r="C756" s="178"/>
      <c r="D756" s="178"/>
      <c r="E756" s="178"/>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7.25" customHeight="1">
      <c r="A757" s="178"/>
      <c r="B757" s="178"/>
      <c r="C757" s="178"/>
      <c r="D757" s="178"/>
      <c r="E757" s="178"/>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7.25" customHeight="1">
      <c r="A758" s="178"/>
      <c r="B758" s="178"/>
      <c r="C758" s="178"/>
      <c r="D758" s="178"/>
      <c r="E758" s="178"/>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7.25" customHeight="1">
      <c r="A759" s="178"/>
      <c r="B759" s="178"/>
      <c r="C759" s="178"/>
      <c r="D759" s="178"/>
      <c r="E759" s="178"/>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7.25" customHeight="1">
      <c r="A760" s="178"/>
      <c r="B760" s="178"/>
      <c r="C760" s="178"/>
      <c r="D760" s="178"/>
      <c r="E760" s="178"/>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7.25" customHeight="1">
      <c r="A761" s="178"/>
      <c r="B761" s="178"/>
      <c r="C761" s="178"/>
      <c r="D761" s="178"/>
      <c r="E761" s="178"/>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7.25" customHeight="1">
      <c r="A762" s="178"/>
      <c r="B762" s="178"/>
      <c r="C762" s="178"/>
      <c r="D762" s="178"/>
      <c r="E762" s="178"/>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7.25" customHeight="1">
      <c r="A763" s="178"/>
      <c r="B763" s="178"/>
      <c r="C763" s="178"/>
      <c r="D763" s="178"/>
      <c r="E763" s="178"/>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7.25" customHeight="1">
      <c r="A764" s="178"/>
      <c r="B764" s="178"/>
      <c r="C764" s="178"/>
      <c r="D764" s="178"/>
      <c r="E764" s="178"/>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7.25" customHeight="1">
      <c r="A765" s="178"/>
      <c r="B765" s="178"/>
      <c r="C765" s="178"/>
      <c r="D765" s="178"/>
      <c r="E765" s="178"/>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7.25" customHeight="1">
      <c r="A766" s="178"/>
      <c r="B766" s="178"/>
      <c r="C766" s="178"/>
      <c r="D766" s="178"/>
      <c r="E766" s="178"/>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7.25" customHeight="1">
      <c r="A767" s="178"/>
      <c r="B767" s="178"/>
      <c r="C767" s="178"/>
      <c r="D767" s="178"/>
      <c r="E767" s="178"/>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7.25" customHeight="1">
      <c r="A768" s="178"/>
      <c r="B768" s="178"/>
      <c r="C768" s="178"/>
      <c r="D768" s="178"/>
      <c r="E768" s="178"/>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7.25" customHeight="1">
      <c r="A769" s="178"/>
      <c r="B769" s="178"/>
      <c r="C769" s="178"/>
      <c r="D769" s="178"/>
      <c r="E769" s="178"/>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7.25" customHeight="1">
      <c r="A770" s="178"/>
      <c r="B770" s="178"/>
      <c r="C770" s="178"/>
      <c r="D770" s="178"/>
      <c r="E770" s="178"/>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7.25" customHeight="1">
      <c r="A771" s="178"/>
      <c r="B771" s="178"/>
      <c r="C771" s="178"/>
      <c r="D771" s="178"/>
      <c r="E771" s="178"/>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7.25" customHeight="1">
      <c r="A772" s="178"/>
      <c r="B772" s="178"/>
      <c r="C772" s="178"/>
      <c r="D772" s="178"/>
      <c r="E772" s="178"/>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7.25" customHeight="1">
      <c r="A773" s="178"/>
      <c r="B773" s="178"/>
      <c r="C773" s="178"/>
      <c r="D773" s="178"/>
      <c r="E773" s="178"/>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7.25" customHeight="1">
      <c r="A774" s="178"/>
      <c r="B774" s="178"/>
      <c r="C774" s="178"/>
      <c r="D774" s="178"/>
      <c r="E774" s="178"/>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7.25" customHeight="1">
      <c r="A775" s="178"/>
      <c r="B775" s="178"/>
      <c r="C775" s="178"/>
      <c r="D775" s="178"/>
      <c r="E775" s="178"/>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7.25" customHeight="1">
      <c r="A776" s="178"/>
      <c r="B776" s="178"/>
      <c r="C776" s="178"/>
      <c r="D776" s="178"/>
      <c r="E776" s="178"/>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7.25" customHeight="1">
      <c r="A777" s="178"/>
      <c r="B777" s="178"/>
      <c r="C777" s="178"/>
      <c r="D777" s="178"/>
      <c r="E777" s="178"/>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7.25" customHeight="1">
      <c r="A778" s="178"/>
      <c r="B778" s="178"/>
      <c r="C778" s="178"/>
      <c r="D778" s="178"/>
      <c r="E778" s="178"/>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7.25" customHeight="1">
      <c r="A779" s="178"/>
      <c r="B779" s="178"/>
      <c r="C779" s="178"/>
      <c r="D779" s="178"/>
      <c r="E779" s="178"/>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7.25" customHeight="1">
      <c r="A780" s="178"/>
      <c r="B780" s="178"/>
      <c r="C780" s="178"/>
      <c r="D780" s="178"/>
      <c r="E780" s="178"/>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7.25" customHeight="1">
      <c r="A781" s="178"/>
      <c r="B781" s="178"/>
      <c r="C781" s="178"/>
      <c r="D781" s="178"/>
      <c r="E781" s="178"/>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7.25" customHeight="1">
      <c r="A782" s="178"/>
      <c r="B782" s="178"/>
      <c r="C782" s="178"/>
      <c r="D782" s="178"/>
      <c r="E782" s="178"/>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7.25" customHeight="1">
      <c r="A783" s="178"/>
      <c r="B783" s="178"/>
      <c r="C783" s="178"/>
      <c r="D783" s="178"/>
      <c r="E783" s="178"/>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7.25" customHeight="1">
      <c r="A784" s="178"/>
      <c r="B784" s="178"/>
      <c r="C784" s="178"/>
      <c r="D784" s="178"/>
      <c r="E784" s="178"/>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7.25" customHeight="1">
      <c r="A785" s="178"/>
      <c r="B785" s="178"/>
      <c r="C785" s="178"/>
      <c r="D785" s="178"/>
      <c r="E785" s="178"/>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7.25" customHeight="1">
      <c r="A786" s="178"/>
      <c r="B786" s="178"/>
      <c r="C786" s="178"/>
      <c r="D786" s="178"/>
      <c r="E786" s="178"/>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7.25" customHeight="1">
      <c r="A787" s="178"/>
      <c r="B787" s="178"/>
      <c r="C787" s="178"/>
      <c r="D787" s="178"/>
      <c r="E787" s="178"/>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7.25" customHeight="1">
      <c r="A788" s="178"/>
      <c r="B788" s="178"/>
      <c r="C788" s="178"/>
      <c r="D788" s="178"/>
      <c r="E788" s="178"/>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7.25" customHeight="1">
      <c r="A789" s="178"/>
      <c r="B789" s="178"/>
      <c r="C789" s="178"/>
      <c r="D789" s="178"/>
      <c r="E789" s="178"/>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7.25" customHeight="1">
      <c r="A790" s="178"/>
      <c r="B790" s="178"/>
      <c r="C790" s="178"/>
      <c r="D790" s="178"/>
      <c r="E790" s="178"/>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7.25" customHeight="1">
      <c r="A791" s="178"/>
      <c r="B791" s="178"/>
      <c r="C791" s="178"/>
      <c r="D791" s="178"/>
      <c r="E791" s="178"/>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7.25" customHeight="1">
      <c r="A792" s="178"/>
      <c r="B792" s="178"/>
      <c r="C792" s="178"/>
      <c r="D792" s="178"/>
      <c r="E792" s="178"/>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7.25" customHeight="1">
      <c r="A793" s="178"/>
      <c r="B793" s="178"/>
      <c r="C793" s="178"/>
      <c r="D793" s="178"/>
      <c r="E793" s="178"/>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7.25" customHeight="1">
      <c r="A794" s="178"/>
      <c r="B794" s="178"/>
      <c r="C794" s="178"/>
      <c r="D794" s="178"/>
      <c r="E794" s="178"/>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7.25" customHeight="1">
      <c r="A795" s="178"/>
      <c r="B795" s="178"/>
      <c r="C795" s="178"/>
      <c r="D795" s="178"/>
      <c r="E795" s="178"/>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7.25" customHeight="1">
      <c r="A796" s="178"/>
      <c r="B796" s="178"/>
      <c r="C796" s="178"/>
      <c r="D796" s="178"/>
      <c r="E796" s="178"/>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7.25" customHeight="1">
      <c r="A797" s="178"/>
      <c r="B797" s="178"/>
      <c r="C797" s="178"/>
      <c r="D797" s="178"/>
      <c r="E797" s="178"/>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7.25" customHeight="1">
      <c r="A798" s="178"/>
      <c r="B798" s="178"/>
      <c r="C798" s="178"/>
      <c r="D798" s="178"/>
      <c r="E798" s="178"/>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7.25" customHeight="1">
      <c r="A799" s="178"/>
      <c r="B799" s="178"/>
      <c r="C799" s="178"/>
      <c r="D799" s="178"/>
      <c r="E799" s="178"/>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7.25" customHeight="1">
      <c r="A800" s="178"/>
      <c r="B800" s="178"/>
      <c r="C800" s="178"/>
      <c r="D800" s="178"/>
      <c r="E800" s="178"/>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7.25" customHeight="1">
      <c r="A801" s="178"/>
      <c r="B801" s="178"/>
      <c r="C801" s="178"/>
      <c r="D801" s="178"/>
      <c r="E801" s="178"/>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7.25" customHeight="1">
      <c r="A802" s="178"/>
      <c r="B802" s="178"/>
      <c r="C802" s="178"/>
      <c r="D802" s="178"/>
      <c r="E802" s="178"/>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7.25" customHeight="1">
      <c r="A803" s="178"/>
      <c r="B803" s="178"/>
      <c r="C803" s="178"/>
      <c r="D803" s="178"/>
      <c r="E803" s="178"/>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7.25" customHeight="1">
      <c r="A804" s="178"/>
      <c r="B804" s="178"/>
      <c r="C804" s="178"/>
      <c r="D804" s="178"/>
      <c r="E804" s="178"/>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7.25" customHeight="1">
      <c r="A805" s="178"/>
      <c r="B805" s="178"/>
      <c r="C805" s="178"/>
      <c r="D805" s="178"/>
      <c r="E805" s="178"/>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7.25" customHeight="1">
      <c r="A806" s="178"/>
      <c r="B806" s="178"/>
      <c r="C806" s="178"/>
      <c r="D806" s="178"/>
      <c r="E806" s="178"/>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7.25" customHeight="1">
      <c r="A807" s="178"/>
      <c r="B807" s="178"/>
      <c r="C807" s="178"/>
      <c r="D807" s="178"/>
      <c r="E807" s="178"/>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7.25" customHeight="1">
      <c r="A808" s="178"/>
      <c r="B808" s="178"/>
      <c r="C808" s="178"/>
      <c r="D808" s="178"/>
      <c r="E808" s="178"/>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7.25" customHeight="1">
      <c r="A809" s="178"/>
      <c r="B809" s="178"/>
      <c r="C809" s="178"/>
      <c r="D809" s="178"/>
      <c r="E809" s="178"/>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7.25" customHeight="1">
      <c r="A810" s="178"/>
      <c r="B810" s="178"/>
      <c r="C810" s="178"/>
      <c r="D810" s="178"/>
      <c r="E810" s="178"/>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7.25" customHeight="1">
      <c r="A811" s="178"/>
      <c r="B811" s="178"/>
      <c r="C811" s="178"/>
      <c r="D811" s="178"/>
      <c r="E811" s="178"/>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7.25" customHeight="1">
      <c r="A812" s="178"/>
      <c r="B812" s="178"/>
      <c r="C812" s="178"/>
      <c r="D812" s="178"/>
      <c r="E812" s="178"/>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7.25" customHeight="1">
      <c r="A813" s="178"/>
      <c r="B813" s="178"/>
      <c r="C813" s="178"/>
      <c r="D813" s="178"/>
      <c r="E813" s="178"/>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7.25" customHeight="1">
      <c r="A814" s="178"/>
      <c r="B814" s="178"/>
      <c r="C814" s="178"/>
      <c r="D814" s="178"/>
      <c r="E814" s="178"/>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7.25" customHeight="1">
      <c r="A815" s="178"/>
      <c r="B815" s="178"/>
      <c r="C815" s="178"/>
      <c r="D815" s="178"/>
      <c r="E815" s="178"/>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7.25" customHeight="1">
      <c r="A816" s="178"/>
      <c r="B816" s="178"/>
      <c r="C816" s="178"/>
      <c r="D816" s="178"/>
      <c r="E816" s="178"/>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7.25" customHeight="1">
      <c r="A817" s="178"/>
      <c r="B817" s="178"/>
      <c r="C817" s="178"/>
      <c r="D817" s="178"/>
      <c r="E817" s="178"/>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7.25" customHeight="1">
      <c r="A818" s="178"/>
      <c r="B818" s="178"/>
      <c r="C818" s="178"/>
      <c r="D818" s="178"/>
      <c r="E818" s="178"/>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7.25" customHeight="1">
      <c r="A819" s="178"/>
      <c r="B819" s="178"/>
      <c r="C819" s="178"/>
      <c r="D819" s="178"/>
      <c r="E819" s="178"/>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7.25" customHeight="1">
      <c r="A820" s="178"/>
      <c r="B820" s="178"/>
      <c r="C820" s="178"/>
      <c r="D820" s="178"/>
      <c r="E820" s="178"/>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7.25" customHeight="1">
      <c r="A821" s="178"/>
      <c r="B821" s="178"/>
      <c r="C821" s="178"/>
      <c r="D821" s="178"/>
      <c r="E821" s="178"/>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7.25" customHeight="1">
      <c r="A822" s="178"/>
      <c r="B822" s="178"/>
      <c r="C822" s="178"/>
      <c r="D822" s="178"/>
      <c r="E822" s="178"/>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7.25" customHeight="1">
      <c r="A823" s="178"/>
      <c r="B823" s="178"/>
      <c r="C823" s="178"/>
      <c r="D823" s="178"/>
      <c r="E823" s="178"/>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7.25" customHeight="1">
      <c r="A824" s="178"/>
      <c r="B824" s="178"/>
      <c r="C824" s="178"/>
      <c r="D824" s="178"/>
      <c r="E824" s="178"/>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7.25" customHeight="1">
      <c r="A825" s="178"/>
      <c r="B825" s="178"/>
      <c r="C825" s="178"/>
      <c r="D825" s="178"/>
      <c r="E825" s="178"/>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7.25" customHeight="1">
      <c r="A826" s="178"/>
      <c r="B826" s="178"/>
      <c r="C826" s="178"/>
      <c r="D826" s="178"/>
      <c r="E826" s="178"/>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7.25" customHeight="1">
      <c r="A827" s="178"/>
      <c r="B827" s="178"/>
      <c r="C827" s="178"/>
      <c r="D827" s="178"/>
      <c r="E827" s="178"/>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7.25" customHeight="1">
      <c r="A828" s="178"/>
      <c r="B828" s="178"/>
      <c r="C828" s="178"/>
      <c r="D828" s="178"/>
      <c r="E828" s="178"/>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7.25" customHeight="1">
      <c r="A829" s="178"/>
      <c r="B829" s="178"/>
      <c r="C829" s="178"/>
      <c r="D829" s="178"/>
      <c r="E829" s="178"/>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7.25" customHeight="1">
      <c r="A830" s="178"/>
      <c r="B830" s="178"/>
      <c r="C830" s="178"/>
      <c r="D830" s="178"/>
      <c r="E830" s="178"/>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7.25" customHeight="1">
      <c r="A831" s="178"/>
      <c r="B831" s="178"/>
      <c r="C831" s="178"/>
      <c r="D831" s="178"/>
      <c r="E831" s="178"/>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7.25" customHeight="1">
      <c r="A832" s="178"/>
      <c r="B832" s="178"/>
      <c r="C832" s="178"/>
      <c r="D832" s="178"/>
      <c r="E832" s="178"/>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7.25" customHeight="1">
      <c r="A833" s="178"/>
      <c r="B833" s="178"/>
      <c r="C833" s="178"/>
      <c r="D833" s="178"/>
      <c r="E833" s="178"/>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7.25" customHeight="1">
      <c r="A834" s="178"/>
      <c r="B834" s="178"/>
      <c r="C834" s="178"/>
      <c r="D834" s="178"/>
      <c r="E834" s="178"/>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7.25" customHeight="1">
      <c r="A835" s="178"/>
      <c r="B835" s="178"/>
      <c r="C835" s="178"/>
      <c r="D835" s="178"/>
      <c r="E835" s="178"/>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7.25" customHeight="1">
      <c r="A836" s="178"/>
      <c r="B836" s="178"/>
      <c r="C836" s="178"/>
      <c r="D836" s="178"/>
      <c r="E836" s="178"/>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7.25" customHeight="1">
      <c r="A837" s="178"/>
      <c r="B837" s="178"/>
      <c r="C837" s="178"/>
      <c r="D837" s="178"/>
      <c r="E837" s="178"/>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7.25" customHeight="1">
      <c r="A838" s="178"/>
      <c r="B838" s="178"/>
      <c r="C838" s="178"/>
      <c r="D838" s="178"/>
      <c r="E838" s="178"/>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7.25" customHeight="1">
      <c r="A839" s="178"/>
      <c r="B839" s="178"/>
      <c r="C839" s="178"/>
      <c r="D839" s="178"/>
      <c r="E839" s="178"/>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7.25" customHeight="1">
      <c r="A840" s="178"/>
      <c r="B840" s="178"/>
      <c r="C840" s="178"/>
      <c r="D840" s="178"/>
      <c r="E840" s="178"/>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7.25" customHeight="1">
      <c r="A841" s="178"/>
      <c r="B841" s="178"/>
      <c r="C841" s="178"/>
      <c r="D841" s="178"/>
      <c r="E841" s="178"/>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7.25" customHeight="1">
      <c r="A842" s="178"/>
      <c r="B842" s="178"/>
      <c r="C842" s="178"/>
      <c r="D842" s="178"/>
      <c r="E842" s="178"/>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7.25" customHeight="1">
      <c r="A843" s="178"/>
      <c r="B843" s="178"/>
      <c r="C843" s="178"/>
      <c r="D843" s="178"/>
      <c r="E843" s="178"/>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7.25" customHeight="1">
      <c r="A844" s="178"/>
      <c r="B844" s="178"/>
      <c r="C844" s="178"/>
      <c r="D844" s="178"/>
      <c r="E844" s="178"/>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7.25" customHeight="1">
      <c r="A845" s="178"/>
      <c r="B845" s="178"/>
      <c r="C845" s="178"/>
      <c r="D845" s="178"/>
      <c r="E845" s="178"/>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7.25" customHeight="1">
      <c r="A846" s="178"/>
      <c r="B846" s="178"/>
      <c r="C846" s="178"/>
      <c r="D846" s="178"/>
      <c r="E846" s="178"/>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7.25" customHeight="1">
      <c r="A847" s="178"/>
      <c r="B847" s="178"/>
      <c r="C847" s="178"/>
      <c r="D847" s="178"/>
      <c r="E847" s="178"/>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7.25" customHeight="1">
      <c r="A848" s="178"/>
      <c r="B848" s="178"/>
      <c r="C848" s="178"/>
      <c r="D848" s="178"/>
      <c r="E848" s="178"/>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7.25" customHeight="1">
      <c r="A849" s="178"/>
      <c r="B849" s="178"/>
      <c r="C849" s="178"/>
      <c r="D849" s="178"/>
      <c r="E849" s="178"/>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7.25" customHeight="1">
      <c r="A850" s="178"/>
      <c r="B850" s="178"/>
      <c r="C850" s="178"/>
      <c r="D850" s="178"/>
      <c r="E850" s="178"/>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7.25" customHeight="1">
      <c r="A851" s="178"/>
      <c r="B851" s="178"/>
      <c r="C851" s="178"/>
      <c r="D851" s="178"/>
      <c r="E851" s="178"/>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7.25" customHeight="1">
      <c r="A852" s="178"/>
      <c r="B852" s="178"/>
      <c r="C852" s="178"/>
      <c r="D852" s="178"/>
      <c r="E852" s="178"/>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7.25" customHeight="1">
      <c r="A853" s="178"/>
      <c r="B853" s="178"/>
      <c r="C853" s="178"/>
      <c r="D853" s="178"/>
      <c r="E853" s="178"/>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7.25" customHeight="1">
      <c r="A854" s="178"/>
      <c r="B854" s="178"/>
      <c r="C854" s="178"/>
      <c r="D854" s="178"/>
      <c r="E854" s="178"/>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7.25" customHeight="1">
      <c r="A855" s="178"/>
      <c r="B855" s="178"/>
      <c r="C855" s="178"/>
      <c r="D855" s="178"/>
      <c r="E855" s="178"/>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7.25" customHeight="1">
      <c r="A856" s="178"/>
      <c r="B856" s="178"/>
      <c r="C856" s="178"/>
      <c r="D856" s="178"/>
      <c r="E856" s="178"/>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7.25" customHeight="1">
      <c r="A857" s="178"/>
      <c r="B857" s="178"/>
      <c r="C857" s="178"/>
      <c r="D857" s="178"/>
      <c r="E857" s="178"/>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7.25" customHeight="1">
      <c r="A858" s="178"/>
      <c r="B858" s="178"/>
      <c r="C858" s="178"/>
      <c r="D858" s="178"/>
      <c r="E858" s="178"/>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7.25" customHeight="1">
      <c r="A859" s="178"/>
      <c r="B859" s="178"/>
      <c r="C859" s="178"/>
      <c r="D859" s="178"/>
      <c r="E859" s="178"/>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7.25" customHeight="1">
      <c r="A860" s="178"/>
      <c r="B860" s="178"/>
      <c r="C860" s="178"/>
      <c r="D860" s="178"/>
      <c r="E860" s="178"/>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7.25" customHeight="1">
      <c r="A861" s="178"/>
      <c r="B861" s="178"/>
      <c r="C861" s="178"/>
      <c r="D861" s="178"/>
      <c r="E861" s="178"/>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7.25" customHeight="1">
      <c r="A862" s="178"/>
      <c r="B862" s="178"/>
      <c r="C862" s="178"/>
      <c r="D862" s="178"/>
      <c r="E862" s="178"/>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7.25" customHeight="1">
      <c r="A863" s="178"/>
      <c r="B863" s="178"/>
      <c r="C863" s="178"/>
      <c r="D863" s="178"/>
      <c r="E863" s="178"/>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7.25" customHeight="1">
      <c r="A864" s="178"/>
      <c r="B864" s="178"/>
      <c r="C864" s="178"/>
      <c r="D864" s="178"/>
      <c r="E864" s="178"/>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7.25" customHeight="1">
      <c r="A865" s="178"/>
      <c r="B865" s="178"/>
      <c r="C865" s="178"/>
      <c r="D865" s="178"/>
      <c r="E865" s="178"/>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7.25" customHeight="1">
      <c r="A866" s="178"/>
      <c r="B866" s="178"/>
      <c r="C866" s="178"/>
      <c r="D866" s="178"/>
      <c r="E866" s="178"/>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7.25" customHeight="1">
      <c r="A867" s="178"/>
      <c r="B867" s="178"/>
      <c r="C867" s="178"/>
      <c r="D867" s="178"/>
      <c r="E867" s="178"/>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7.25" customHeight="1">
      <c r="A868" s="178"/>
      <c r="B868" s="178"/>
      <c r="C868" s="178"/>
      <c r="D868" s="178"/>
      <c r="E868" s="178"/>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7.25" customHeight="1">
      <c r="A869" s="178"/>
      <c r="B869" s="178"/>
      <c r="C869" s="178"/>
      <c r="D869" s="178"/>
      <c r="E869" s="178"/>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7.25" customHeight="1">
      <c r="A870" s="178"/>
      <c r="B870" s="178"/>
      <c r="C870" s="178"/>
      <c r="D870" s="178"/>
      <c r="E870" s="178"/>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7.25" customHeight="1">
      <c r="A871" s="178"/>
      <c r="B871" s="178"/>
      <c r="C871" s="178"/>
      <c r="D871" s="178"/>
      <c r="E871" s="178"/>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7.25" customHeight="1">
      <c r="A872" s="178"/>
      <c r="B872" s="178"/>
      <c r="C872" s="178"/>
      <c r="D872" s="178"/>
      <c r="E872" s="178"/>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7.25" customHeight="1">
      <c r="A873" s="178"/>
      <c r="B873" s="178"/>
      <c r="C873" s="178"/>
      <c r="D873" s="178"/>
      <c r="E873" s="178"/>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7.25" customHeight="1">
      <c r="A874" s="178"/>
      <c r="B874" s="178"/>
      <c r="C874" s="178"/>
      <c r="D874" s="178"/>
      <c r="E874" s="178"/>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7.25" customHeight="1">
      <c r="A875" s="178"/>
      <c r="B875" s="178"/>
      <c r="C875" s="178"/>
      <c r="D875" s="178"/>
      <c r="E875" s="178"/>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7.25" customHeight="1">
      <c r="A876" s="178"/>
      <c r="B876" s="178"/>
      <c r="C876" s="178"/>
      <c r="D876" s="178"/>
      <c r="E876" s="178"/>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7.25" customHeight="1">
      <c r="A877" s="178"/>
      <c r="B877" s="178"/>
      <c r="C877" s="178"/>
      <c r="D877" s="178"/>
      <c r="E877" s="178"/>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7.25" customHeight="1">
      <c r="A878" s="178"/>
      <c r="B878" s="178"/>
      <c r="C878" s="178"/>
      <c r="D878" s="178"/>
      <c r="E878" s="178"/>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7.25" customHeight="1">
      <c r="A879" s="178"/>
      <c r="B879" s="178"/>
      <c r="C879" s="178"/>
      <c r="D879" s="178"/>
      <c r="E879" s="178"/>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7.25" customHeight="1">
      <c r="A880" s="178"/>
      <c r="B880" s="178"/>
      <c r="C880" s="178"/>
      <c r="D880" s="178"/>
      <c r="E880" s="178"/>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7.25" customHeight="1">
      <c r="A881" s="178"/>
      <c r="B881" s="178"/>
      <c r="C881" s="178"/>
      <c r="D881" s="178"/>
      <c r="E881" s="178"/>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7.25" customHeight="1">
      <c r="A882" s="178"/>
      <c r="B882" s="178"/>
      <c r="C882" s="178"/>
      <c r="D882" s="178"/>
      <c r="E882" s="178"/>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7.25" customHeight="1">
      <c r="A883" s="178"/>
      <c r="B883" s="178"/>
      <c r="C883" s="178"/>
      <c r="D883" s="178"/>
      <c r="E883" s="178"/>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7.25" customHeight="1">
      <c r="A884" s="178"/>
      <c r="B884" s="178"/>
      <c r="C884" s="178"/>
      <c r="D884" s="178"/>
      <c r="E884" s="178"/>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7.25" customHeight="1">
      <c r="A885" s="178"/>
      <c r="B885" s="178"/>
      <c r="C885" s="178"/>
      <c r="D885" s="178"/>
      <c r="E885" s="178"/>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7.25" customHeight="1">
      <c r="A886" s="178"/>
      <c r="B886" s="178"/>
      <c r="C886" s="178"/>
      <c r="D886" s="178"/>
      <c r="E886" s="178"/>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7.25" customHeight="1">
      <c r="A887" s="178"/>
      <c r="B887" s="178"/>
      <c r="C887" s="178"/>
      <c r="D887" s="178"/>
      <c r="E887" s="178"/>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7.25" customHeight="1">
      <c r="A888" s="178"/>
      <c r="B888" s="178"/>
      <c r="C888" s="178"/>
      <c r="D888" s="178"/>
      <c r="E888" s="178"/>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7.25" customHeight="1">
      <c r="A889" s="178"/>
      <c r="B889" s="178"/>
      <c r="C889" s="178"/>
      <c r="D889" s="178"/>
      <c r="E889" s="178"/>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7.25" customHeight="1">
      <c r="A890" s="178"/>
      <c r="B890" s="178"/>
      <c r="C890" s="178"/>
      <c r="D890" s="178"/>
      <c r="E890" s="178"/>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7.25" customHeight="1">
      <c r="A891" s="178"/>
      <c r="B891" s="178"/>
      <c r="C891" s="178"/>
      <c r="D891" s="178"/>
      <c r="E891" s="178"/>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7.25" customHeight="1">
      <c r="A892" s="178"/>
      <c r="B892" s="178"/>
      <c r="C892" s="178"/>
      <c r="D892" s="178"/>
      <c r="E892" s="178"/>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7.25" customHeight="1">
      <c r="A893" s="178"/>
      <c r="B893" s="178"/>
      <c r="C893" s="178"/>
      <c r="D893" s="178"/>
      <c r="E893" s="178"/>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7.25" customHeight="1">
      <c r="A894" s="178"/>
      <c r="B894" s="178"/>
      <c r="C894" s="178"/>
      <c r="D894" s="178"/>
      <c r="E894" s="178"/>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7.25" customHeight="1">
      <c r="A895" s="178"/>
      <c r="B895" s="178"/>
      <c r="C895" s="178"/>
      <c r="D895" s="178"/>
      <c r="E895" s="178"/>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7.25" customHeight="1">
      <c r="A896" s="178"/>
      <c r="B896" s="178"/>
      <c r="C896" s="178"/>
      <c r="D896" s="178"/>
      <c r="E896" s="178"/>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7.25" customHeight="1">
      <c r="A897" s="178"/>
      <c r="B897" s="178"/>
      <c r="C897" s="178"/>
      <c r="D897" s="178"/>
      <c r="E897" s="178"/>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7.25" customHeight="1">
      <c r="A898" s="178"/>
      <c r="B898" s="178"/>
      <c r="C898" s="178"/>
      <c r="D898" s="178"/>
      <c r="E898" s="178"/>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7.25" customHeight="1">
      <c r="A899" s="178"/>
      <c r="B899" s="178"/>
      <c r="C899" s="178"/>
      <c r="D899" s="178"/>
      <c r="E899" s="178"/>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7.25" customHeight="1">
      <c r="A900" s="178"/>
      <c r="B900" s="178"/>
      <c r="C900" s="178"/>
      <c r="D900" s="178"/>
      <c r="E900" s="178"/>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7.25" customHeight="1">
      <c r="A901" s="178"/>
      <c r="B901" s="178"/>
      <c r="C901" s="178"/>
      <c r="D901" s="178"/>
      <c r="E901" s="178"/>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7.25" customHeight="1">
      <c r="A902" s="178"/>
      <c r="B902" s="178"/>
      <c r="C902" s="178"/>
      <c r="D902" s="178"/>
      <c r="E902" s="178"/>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7.25" customHeight="1">
      <c r="A903" s="178"/>
      <c r="B903" s="178"/>
      <c r="C903" s="178"/>
      <c r="D903" s="178"/>
      <c r="E903" s="178"/>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7.25" customHeight="1">
      <c r="A904" s="178"/>
      <c r="B904" s="178"/>
      <c r="C904" s="178"/>
      <c r="D904" s="178"/>
      <c r="E904" s="178"/>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7.25" customHeight="1">
      <c r="A905" s="178"/>
      <c r="B905" s="178"/>
      <c r="C905" s="178"/>
      <c r="D905" s="178"/>
      <c r="E905" s="178"/>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7.25" customHeight="1">
      <c r="A906" s="178"/>
      <c r="B906" s="178"/>
      <c r="C906" s="178"/>
      <c r="D906" s="178"/>
      <c r="E906" s="178"/>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7.25" customHeight="1">
      <c r="A907" s="178"/>
      <c r="B907" s="178"/>
      <c r="C907" s="178"/>
      <c r="D907" s="178"/>
      <c r="E907" s="178"/>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7.25" customHeight="1">
      <c r="A908" s="178"/>
      <c r="B908" s="178"/>
      <c r="C908" s="178"/>
      <c r="D908" s="178"/>
      <c r="E908" s="178"/>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7.25" customHeight="1">
      <c r="A909" s="178"/>
      <c r="B909" s="178"/>
      <c r="C909" s="178"/>
      <c r="D909" s="178"/>
      <c r="E909" s="178"/>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7.25" customHeight="1">
      <c r="A910" s="178"/>
      <c r="B910" s="178"/>
      <c r="C910" s="178"/>
      <c r="D910" s="178"/>
      <c r="E910" s="178"/>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7.25" customHeight="1">
      <c r="A911" s="178"/>
      <c r="B911" s="178"/>
      <c r="C911" s="178"/>
      <c r="D911" s="178"/>
      <c r="E911" s="178"/>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7.25" customHeight="1">
      <c r="A912" s="178"/>
      <c r="B912" s="178"/>
      <c r="C912" s="178"/>
      <c r="D912" s="178"/>
      <c r="E912" s="178"/>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7.25" customHeight="1">
      <c r="A913" s="178"/>
      <c r="B913" s="178"/>
      <c r="C913" s="178"/>
      <c r="D913" s="178"/>
      <c r="E913" s="178"/>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7.25" customHeight="1">
      <c r="A914" s="178"/>
      <c r="B914" s="178"/>
      <c r="C914" s="178"/>
      <c r="D914" s="178"/>
      <c r="E914" s="178"/>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7.25" customHeight="1">
      <c r="A915" s="178"/>
      <c r="B915" s="178"/>
      <c r="C915" s="178"/>
      <c r="D915" s="178"/>
      <c r="E915" s="178"/>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7.25" customHeight="1">
      <c r="A916" s="178"/>
      <c r="B916" s="178"/>
      <c r="C916" s="178"/>
      <c r="D916" s="178"/>
      <c r="E916" s="178"/>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7.25" customHeight="1">
      <c r="A917" s="178"/>
      <c r="B917" s="178"/>
      <c r="C917" s="178"/>
      <c r="D917" s="178"/>
      <c r="E917" s="178"/>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7.25" customHeight="1">
      <c r="A918" s="178"/>
      <c r="B918" s="178"/>
      <c r="C918" s="178"/>
      <c r="D918" s="178"/>
      <c r="E918" s="178"/>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7.25" customHeight="1">
      <c r="A919" s="178"/>
      <c r="B919" s="178"/>
      <c r="C919" s="178"/>
      <c r="D919" s="178"/>
      <c r="E919" s="178"/>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7.25" customHeight="1">
      <c r="A920" s="178"/>
      <c r="B920" s="178"/>
      <c r="C920" s="178"/>
      <c r="D920" s="178"/>
      <c r="E920" s="178"/>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7.25" customHeight="1">
      <c r="A921" s="178"/>
      <c r="B921" s="178"/>
      <c r="C921" s="178"/>
      <c r="D921" s="178"/>
      <c r="E921" s="178"/>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7.25" customHeight="1">
      <c r="A922" s="178"/>
      <c r="B922" s="178"/>
      <c r="C922" s="178"/>
      <c r="D922" s="178"/>
      <c r="E922" s="178"/>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7.25" customHeight="1">
      <c r="A923" s="178"/>
      <c r="B923" s="178"/>
      <c r="C923" s="178"/>
      <c r="D923" s="178"/>
      <c r="E923" s="178"/>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7.25" customHeight="1">
      <c r="A924" s="178"/>
      <c r="B924" s="178"/>
      <c r="C924" s="178"/>
      <c r="D924" s="178"/>
      <c r="E924" s="178"/>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7.25" customHeight="1">
      <c r="A925" s="178"/>
      <c r="B925" s="178"/>
      <c r="C925" s="178"/>
      <c r="D925" s="178"/>
      <c r="E925" s="178"/>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7.25" customHeight="1">
      <c r="A926" s="178"/>
      <c r="B926" s="178"/>
      <c r="C926" s="178"/>
      <c r="D926" s="178"/>
      <c r="E926" s="178"/>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7.25" customHeight="1">
      <c r="A927" s="178"/>
      <c r="B927" s="178"/>
      <c r="C927" s="178"/>
      <c r="D927" s="178"/>
      <c r="E927" s="178"/>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7.25" customHeight="1">
      <c r="A928" s="178"/>
      <c r="B928" s="178"/>
      <c r="C928" s="178"/>
      <c r="D928" s="178"/>
      <c r="E928" s="178"/>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7.25" customHeight="1">
      <c r="A929" s="178"/>
      <c r="B929" s="178"/>
      <c r="C929" s="178"/>
      <c r="D929" s="178"/>
      <c r="E929" s="178"/>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7.25" customHeight="1">
      <c r="A930" s="178"/>
      <c r="B930" s="178"/>
      <c r="C930" s="178"/>
      <c r="D930" s="178"/>
      <c r="E930" s="178"/>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7.25" customHeight="1">
      <c r="A931" s="178"/>
      <c r="B931" s="178"/>
      <c r="C931" s="178"/>
      <c r="D931" s="178"/>
      <c r="E931" s="178"/>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7.25" customHeight="1">
      <c r="A932" s="178"/>
      <c r="B932" s="178"/>
      <c r="C932" s="178"/>
      <c r="D932" s="178"/>
      <c r="E932" s="178"/>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7.25" customHeight="1">
      <c r="A933" s="178"/>
      <c r="B933" s="178"/>
      <c r="C933" s="178"/>
      <c r="D933" s="178"/>
      <c r="E933" s="178"/>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7.25" customHeight="1">
      <c r="A934" s="178"/>
      <c r="B934" s="178"/>
      <c r="C934" s="178"/>
      <c r="D934" s="178"/>
      <c r="E934" s="178"/>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7.25" customHeight="1">
      <c r="A935" s="178"/>
      <c r="B935" s="178"/>
      <c r="C935" s="178"/>
      <c r="D935" s="178"/>
      <c r="E935" s="178"/>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7.25" customHeight="1">
      <c r="A936" s="178"/>
      <c r="B936" s="178"/>
      <c r="C936" s="178"/>
      <c r="D936" s="178"/>
      <c r="E936" s="178"/>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7.25" customHeight="1">
      <c r="A937" s="178"/>
      <c r="B937" s="178"/>
      <c r="C937" s="178"/>
      <c r="D937" s="178"/>
      <c r="E937" s="178"/>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7.25" customHeight="1">
      <c r="A938" s="178"/>
      <c r="B938" s="178"/>
      <c r="C938" s="178"/>
      <c r="D938" s="178"/>
      <c r="E938" s="178"/>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7.25" customHeight="1">
      <c r="A939" s="178"/>
      <c r="B939" s="178"/>
      <c r="C939" s="178"/>
      <c r="D939" s="178"/>
      <c r="E939" s="178"/>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7.25" customHeight="1">
      <c r="A940" s="178"/>
      <c r="B940" s="178"/>
      <c r="C940" s="178"/>
      <c r="D940" s="178"/>
      <c r="E940" s="178"/>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7.25" customHeight="1">
      <c r="A941" s="178"/>
      <c r="B941" s="178"/>
      <c r="C941" s="178"/>
      <c r="D941" s="178"/>
      <c r="E941" s="178"/>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7.25" customHeight="1">
      <c r="A942" s="178"/>
      <c r="B942" s="178"/>
      <c r="C942" s="178"/>
      <c r="D942" s="178"/>
      <c r="E942" s="178"/>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7.25" customHeight="1">
      <c r="A943" s="178"/>
      <c r="B943" s="178"/>
      <c r="C943" s="178"/>
      <c r="D943" s="178"/>
      <c r="E943" s="178"/>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7.25" customHeight="1">
      <c r="A944" s="178"/>
      <c r="B944" s="178"/>
      <c r="C944" s="178"/>
      <c r="D944" s="178"/>
      <c r="E944" s="178"/>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7.25" customHeight="1">
      <c r="A945" s="178"/>
      <c r="B945" s="178"/>
      <c r="C945" s="178"/>
      <c r="D945" s="178"/>
      <c r="E945" s="178"/>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7.25" customHeight="1">
      <c r="A946" s="178"/>
      <c r="B946" s="178"/>
      <c r="C946" s="178"/>
      <c r="D946" s="178"/>
      <c r="E946" s="178"/>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7.25" customHeight="1">
      <c r="A947" s="178"/>
      <c r="B947" s="178"/>
      <c r="C947" s="178"/>
      <c r="D947" s="178"/>
      <c r="E947" s="178"/>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7.25" customHeight="1">
      <c r="A948" s="178"/>
      <c r="B948" s="178"/>
      <c r="C948" s="178"/>
      <c r="D948" s="178"/>
      <c r="E948" s="178"/>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7.25" customHeight="1">
      <c r="A949" s="178"/>
      <c r="B949" s="178"/>
      <c r="C949" s="178"/>
      <c r="D949" s="178"/>
      <c r="E949" s="178"/>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7.25" customHeight="1">
      <c r="A950" s="178"/>
      <c r="B950" s="178"/>
      <c r="C950" s="178"/>
      <c r="D950" s="178"/>
      <c r="E950" s="178"/>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7.25" customHeight="1">
      <c r="A951" s="178"/>
      <c r="B951" s="178"/>
      <c r="C951" s="178"/>
      <c r="D951" s="178"/>
      <c r="E951" s="178"/>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7.25" customHeight="1">
      <c r="A952" s="178"/>
      <c r="B952" s="178"/>
      <c r="C952" s="178"/>
      <c r="D952" s="178"/>
      <c r="E952" s="178"/>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7.25" customHeight="1">
      <c r="A953" s="178"/>
      <c r="B953" s="178"/>
      <c r="C953" s="178"/>
      <c r="D953" s="178"/>
      <c r="E953" s="178"/>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7.25" customHeight="1">
      <c r="A954" s="178"/>
      <c r="B954" s="178"/>
      <c r="C954" s="178"/>
      <c r="D954" s="178"/>
      <c r="E954" s="178"/>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7.25" customHeight="1">
      <c r="A955" s="178"/>
      <c r="B955" s="178"/>
      <c r="C955" s="178"/>
      <c r="D955" s="178"/>
      <c r="E955" s="178"/>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7.25" customHeight="1">
      <c r="A956" s="178"/>
      <c r="B956" s="178"/>
      <c r="C956" s="178"/>
      <c r="D956" s="178"/>
      <c r="E956" s="178"/>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7.25" customHeight="1">
      <c r="A957" s="178"/>
      <c r="B957" s="178"/>
      <c r="C957" s="178"/>
      <c r="D957" s="178"/>
      <c r="E957" s="178"/>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7.25" customHeight="1">
      <c r="A958" s="178"/>
      <c r="B958" s="178"/>
      <c r="C958" s="178"/>
      <c r="D958" s="178"/>
      <c r="E958" s="178"/>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7.25" customHeight="1">
      <c r="A959" s="178"/>
      <c r="B959" s="178"/>
      <c r="C959" s="178"/>
      <c r="D959" s="178"/>
      <c r="E959" s="178"/>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7.25" customHeight="1">
      <c r="A960" s="178"/>
      <c r="B960" s="178"/>
      <c r="C960" s="178"/>
      <c r="D960" s="178"/>
      <c r="E960" s="178"/>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7.25" customHeight="1">
      <c r="A961" s="178"/>
      <c r="B961" s="178"/>
      <c r="C961" s="178"/>
      <c r="D961" s="178"/>
      <c r="E961" s="178"/>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7.25" customHeight="1">
      <c r="A962" s="178"/>
      <c r="B962" s="178"/>
      <c r="C962" s="178"/>
      <c r="D962" s="178"/>
      <c r="E962" s="178"/>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7.25" customHeight="1">
      <c r="A963" s="178"/>
      <c r="B963" s="178"/>
      <c r="C963" s="178"/>
      <c r="D963" s="178"/>
      <c r="E963" s="178"/>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7.25" customHeight="1">
      <c r="A964" s="178"/>
      <c r="B964" s="178"/>
      <c r="C964" s="178"/>
      <c r="D964" s="178"/>
      <c r="E964" s="178"/>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7.25" customHeight="1">
      <c r="A965" s="178"/>
      <c r="B965" s="178"/>
      <c r="C965" s="178"/>
      <c r="D965" s="178"/>
      <c r="E965" s="178"/>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7.25" customHeight="1">
      <c r="A966" s="178"/>
      <c r="B966" s="178"/>
      <c r="C966" s="178"/>
      <c r="D966" s="178"/>
      <c r="E966" s="178"/>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7.25" customHeight="1">
      <c r="A967" s="178"/>
      <c r="B967" s="178"/>
      <c r="C967" s="178"/>
      <c r="D967" s="178"/>
      <c r="E967" s="178"/>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7.25" customHeight="1">
      <c r="A968" s="178"/>
      <c r="B968" s="178"/>
      <c r="C968" s="178"/>
      <c r="D968" s="178"/>
      <c r="E968" s="178"/>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7.25" customHeight="1">
      <c r="A969" s="178"/>
      <c r="B969" s="178"/>
      <c r="C969" s="178"/>
      <c r="D969" s="178"/>
      <c r="E969" s="178"/>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7.25" customHeight="1">
      <c r="A970" s="178"/>
      <c r="B970" s="178"/>
      <c r="C970" s="178"/>
      <c r="D970" s="178"/>
      <c r="E970" s="178"/>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7.25" customHeight="1">
      <c r="A971" s="178"/>
      <c r="B971" s="178"/>
      <c r="C971" s="178"/>
      <c r="D971" s="178"/>
      <c r="E971" s="178"/>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7.25" customHeight="1">
      <c r="A972" s="178"/>
      <c r="B972" s="178"/>
      <c r="C972" s="178"/>
      <c r="D972" s="178"/>
      <c r="E972" s="178"/>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7.25" customHeight="1">
      <c r="A973" s="178"/>
      <c r="B973" s="178"/>
      <c r="C973" s="178"/>
      <c r="D973" s="178"/>
      <c r="E973" s="178"/>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7.25" customHeight="1">
      <c r="A974" s="178"/>
      <c r="B974" s="178"/>
      <c r="C974" s="178"/>
      <c r="D974" s="178"/>
      <c r="E974" s="178"/>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7.25" customHeight="1">
      <c r="A975" s="178"/>
      <c r="B975" s="178"/>
      <c r="C975" s="178"/>
      <c r="D975" s="178"/>
      <c r="E975" s="178"/>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7.25" customHeight="1">
      <c r="A976" s="178"/>
      <c r="B976" s="178"/>
      <c r="C976" s="178"/>
      <c r="D976" s="178"/>
      <c r="E976" s="178"/>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7.25" customHeight="1">
      <c r="A977" s="178"/>
      <c r="B977" s="178"/>
      <c r="C977" s="178"/>
      <c r="D977" s="178"/>
      <c r="E977" s="178"/>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7.25" customHeight="1">
      <c r="A978" s="178"/>
      <c r="B978" s="178"/>
      <c r="C978" s="178"/>
      <c r="D978" s="178"/>
      <c r="E978" s="178"/>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7.25" customHeight="1">
      <c r="A979" s="178"/>
      <c r="B979" s="178"/>
      <c r="C979" s="178"/>
      <c r="D979" s="178"/>
      <c r="E979" s="178"/>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7.25" customHeight="1">
      <c r="A980" s="178"/>
      <c r="B980" s="178"/>
      <c r="C980" s="178"/>
      <c r="D980" s="178"/>
      <c r="E980" s="178"/>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7.25" customHeight="1">
      <c r="A981" s="178"/>
      <c r="B981" s="178"/>
      <c r="C981" s="178"/>
      <c r="D981" s="178"/>
      <c r="E981" s="178"/>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7.25" customHeight="1">
      <c r="A982" s="178"/>
      <c r="B982" s="178"/>
      <c r="C982" s="178"/>
      <c r="D982" s="178"/>
      <c r="E982" s="178"/>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7.25" customHeight="1">
      <c r="A983" s="178"/>
      <c r="B983" s="178"/>
      <c r="C983" s="178"/>
      <c r="D983" s="178"/>
      <c r="E983" s="178"/>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7.25" customHeight="1">
      <c r="A984" s="178"/>
      <c r="B984" s="178"/>
      <c r="C984" s="178"/>
      <c r="D984" s="178"/>
      <c r="E984" s="178"/>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7.25" customHeight="1">
      <c r="A985" s="178"/>
      <c r="B985" s="178"/>
      <c r="C985" s="178"/>
      <c r="D985" s="178"/>
      <c r="E985" s="178"/>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7.25" customHeight="1">
      <c r="A986" s="178"/>
      <c r="B986" s="178"/>
      <c r="C986" s="178"/>
      <c r="D986" s="178"/>
      <c r="E986" s="178"/>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7.25" customHeight="1">
      <c r="A987" s="178"/>
      <c r="B987" s="178"/>
      <c r="C987" s="178"/>
      <c r="D987" s="178"/>
      <c r="E987" s="178"/>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7.25" customHeight="1">
      <c r="A988" s="178"/>
      <c r="B988" s="178"/>
      <c r="C988" s="178"/>
      <c r="D988" s="178"/>
      <c r="E988" s="178"/>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7.25" customHeight="1">
      <c r="A989" s="178"/>
      <c r="B989" s="178"/>
      <c r="C989" s="178"/>
      <c r="D989" s="178"/>
      <c r="E989" s="178"/>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7.25" customHeight="1">
      <c r="A990" s="178"/>
      <c r="B990" s="178"/>
      <c r="C990" s="178"/>
      <c r="D990" s="178"/>
      <c r="E990" s="178"/>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7.25" customHeight="1">
      <c r="A991" s="178"/>
      <c r="B991" s="178"/>
      <c r="C991" s="178"/>
      <c r="D991" s="178"/>
      <c r="E991" s="178"/>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7.25" customHeight="1">
      <c r="A992" s="178"/>
      <c r="B992" s="178"/>
      <c r="C992" s="178"/>
      <c r="D992" s="178"/>
      <c r="E992" s="178"/>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7.25" customHeight="1">
      <c r="A993" s="178"/>
      <c r="B993" s="178"/>
      <c r="C993" s="178"/>
      <c r="D993" s="178"/>
      <c r="E993" s="178"/>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7.25" customHeight="1">
      <c r="A994" s="178"/>
      <c r="B994" s="178"/>
      <c r="C994" s="178"/>
      <c r="D994" s="178"/>
      <c r="E994" s="178"/>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7.25" customHeight="1">
      <c r="A995" s="178"/>
      <c r="B995" s="178"/>
      <c r="C995" s="178"/>
      <c r="D995" s="178"/>
      <c r="E995" s="178"/>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7.25" customHeight="1">
      <c r="A996" s="178"/>
      <c r="B996" s="178"/>
      <c r="C996" s="178"/>
      <c r="D996" s="178"/>
      <c r="E996" s="178"/>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7.25" customHeight="1">
      <c r="A997" s="178"/>
      <c r="B997" s="178"/>
      <c r="C997" s="178"/>
      <c r="D997" s="178"/>
      <c r="E997" s="178"/>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7.25" customHeight="1">
      <c r="A998" s="178"/>
      <c r="B998" s="178"/>
      <c r="C998" s="178"/>
      <c r="D998" s="178"/>
      <c r="E998" s="178"/>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7.25" customHeight="1">
      <c r="A999" s="178"/>
      <c r="B999" s="178"/>
      <c r="C999" s="178"/>
      <c r="D999" s="178"/>
      <c r="E999" s="178"/>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7.25" customHeight="1">
      <c r="A1000" s="178"/>
      <c r="B1000" s="178"/>
      <c r="C1000" s="178"/>
      <c r="D1000" s="178"/>
      <c r="E1000" s="178"/>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Y936"/>
  <sheetViews>
    <sheetView showGridLines="0" topLeftCell="A37" zoomScale="119" zoomScaleNormal="120" workbookViewId="0">
      <selection activeCell="E55" sqref="E55"/>
    </sheetView>
  </sheetViews>
  <sheetFormatPr defaultColWidth="14.42578125" defaultRowHeight="15" customHeight="1"/>
  <cols>
    <col min="1" max="1" width="25.7109375" customWidth="1"/>
    <col min="2" max="2" width="24.7109375" customWidth="1"/>
    <col min="3" max="3" width="27.42578125" style="112" customWidth="1"/>
    <col min="4" max="4" width="36.140625" customWidth="1"/>
    <col min="5" max="16" width="17.28515625" customWidth="1"/>
    <col min="17" max="25" width="9.140625" customWidth="1"/>
  </cols>
  <sheetData>
    <row r="1" spans="1:25" ht="12" customHeight="1">
      <c r="A1" s="2" t="s">
        <v>36</v>
      </c>
      <c r="B1" s="1"/>
      <c r="C1" s="1"/>
      <c r="D1" s="1"/>
      <c r="E1" s="1"/>
      <c r="F1" s="1"/>
      <c r="G1" s="1"/>
      <c r="H1" s="1"/>
      <c r="I1" s="1"/>
      <c r="J1" s="1"/>
      <c r="K1" s="1"/>
      <c r="L1" s="1"/>
      <c r="M1" s="1"/>
      <c r="N1" s="1"/>
      <c r="O1" s="1"/>
      <c r="P1" s="1"/>
      <c r="Q1" s="1"/>
      <c r="R1" s="1"/>
      <c r="S1" s="1"/>
      <c r="T1" s="1"/>
      <c r="U1" s="1"/>
      <c r="V1" s="1"/>
      <c r="W1" s="1"/>
      <c r="X1" s="1"/>
      <c r="Y1" s="1"/>
    </row>
    <row r="2" spans="1:25" ht="12" customHeight="1">
      <c r="A2" s="1"/>
      <c r="B2" s="1"/>
      <c r="C2" s="1"/>
      <c r="D2" s="1"/>
      <c r="E2" s="1"/>
      <c r="F2" s="1"/>
      <c r="G2" s="1"/>
      <c r="H2" s="1"/>
      <c r="I2" s="1"/>
      <c r="J2" s="1"/>
      <c r="K2" s="1"/>
      <c r="L2" s="1"/>
      <c r="M2" s="1"/>
      <c r="N2" s="1"/>
      <c r="O2" s="1"/>
      <c r="P2" s="1"/>
      <c r="Q2" s="1"/>
      <c r="R2" s="1"/>
      <c r="S2" s="1"/>
      <c r="T2" s="1"/>
      <c r="U2" s="1"/>
      <c r="V2" s="1"/>
      <c r="W2" s="1"/>
      <c r="X2" s="1"/>
      <c r="Y2" s="1"/>
    </row>
    <row r="3" spans="1:25" s="90" customFormat="1" ht="12" customHeight="1">
      <c r="A3" s="102" t="s">
        <v>37</v>
      </c>
      <c r="B3" s="102"/>
      <c r="C3" s="97"/>
      <c r="D3" s="97"/>
      <c r="E3" s="97"/>
      <c r="F3" s="97"/>
      <c r="G3" s="97"/>
      <c r="H3" s="97"/>
      <c r="I3" s="97"/>
      <c r="J3" s="97"/>
      <c r="K3" s="97"/>
      <c r="L3" s="97"/>
      <c r="M3" s="97"/>
      <c r="N3" s="97"/>
      <c r="O3" s="97"/>
      <c r="P3" s="97"/>
      <c r="Q3" s="97"/>
      <c r="R3" s="97"/>
      <c r="S3" s="97"/>
      <c r="T3" s="97"/>
      <c r="U3" s="97"/>
      <c r="V3" s="97"/>
      <c r="W3" s="97"/>
      <c r="X3" s="97"/>
      <c r="Y3" s="97"/>
    </row>
    <row r="4" spans="1:25" s="88" customFormat="1" ht="12" customHeight="1" thickBot="1">
      <c r="A4" s="104" t="s">
        <v>38</v>
      </c>
      <c r="B4" s="103"/>
      <c r="C4" s="111"/>
      <c r="D4" s="103"/>
      <c r="E4" s="103"/>
      <c r="F4" s="103"/>
      <c r="G4" s="103"/>
      <c r="H4" s="103"/>
      <c r="I4" s="103"/>
      <c r="J4" s="103"/>
      <c r="K4" s="103"/>
      <c r="L4" s="103"/>
      <c r="M4" s="103"/>
      <c r="N4" s="103"/>
      <c r="O4" s="103"/>
      <c r="P4" s="103"/>
      <c r="Q4" s="105"/>
      <c r="R4" s="105"/>
      <c r="S4" s="105"/>
      <c r="T4" s="105"/>
      <c r="U4" s="105"/>
      <c r="V4" s="105"/>
      <c r="W4" s="105"/>
      <c r="X4" s="105"/>
      <c r="Y4" s="105"/>
    </row>
    <row r="5" spans="1:25" s="90" customFormat="1" ht="12" customHeight="1">
      <c r="A5" s="92"/>
      <c r="B5" s="93"/>
      <c r="C5" s="94"/>
      <c r="D5" s="95"/>
      <c r="E5" s="96">
        <v>41456</v>
      </c>
      <c r="F5" s="96">
        <v>41487</v>
      </c>
      <c r="G5" s="96">
        <v>41518</v>
      </c>
      <c r="H5" s="96">
        <v>41548</v>
      </c>
      <c r="I5" s="96">
        <v>41579</v>
      </c>
      <c r="J5" s="96">
        <v>41609</v>
      </c>
      <c r="K5" s="96">
        <v>41640</v>
      </c>
      <c r="L5" s="96">
        <v>41671</v>
      </c>
      <c r="M5" s="96">
        <v>41699</v>
      </c>
      <c r="N5" s="96">
        <v>41730</v>
      </c>
      <c r="O5" s="96">
        <v>41760</v>
      </c>
      <c r="P5" s="96">
        <v>41791</v>
      </c>
      <c r="Q5" s="97"/>
      <c r="R5" s="97"/>
      <c r="S5" s="97"/>
      <c r="T5" s="97"/>
      <c r="U5" s="97"/>
      <c r="V5" s="97"/>
      <c r="W5" s="97"/>
      <c r="X5" s="97"/>
      <c r="Y5" s="97"/>
    </row>
    <row r="6" spans="1:25" s="90" customFormat="1" ht="12" customHeight="1">
      <c r="A6" s="98" t="s">
        <v>39</v>
      </c>
      <c r="B6" s="286" t="s">
        <v>40</v>
      </c>
      <c r="C6" s="99" t="s">
        <v>41</v>
      </c>
      <c r="D6" s="100" t="s">
        <v>42</v>
      </c>
      <c r="E6" s="101" t="s">
        <v>43</v>
      </c>
      <c r="F6" s="101" t="s">
        <v>44</v>
      </c>
      <c r="G6" s="101" t="s">
        <v>45</v>
      </c>
      <c r="H6" s="101" t="s">
        <v>46</v>
      </c>
      <c r="I6" s="101" t="s">
        <v>47</v>
      </c>
      <c r="J6" s="101" t="s">
        <v>48</v>
      </c>
      <c r="K6" s="101" t="s">
        <v>49</v>
      </c>
      <c r="L6" s="101" t="s">
        <v>50</v>
      </c>
      <c r="M6" s="101" t="s">
        <v>51</v>
      </c>
      <c r="N6" s="101" t="s">
        <v>52</v>
      </c>
      <c r="O6" s="101" t="s">
        <v>53</v>
      </c>
      <c r="P6" s="101" t="s">
        <v>54</v>
      </c>
      <c r="Q6" s="97"/>
      <c r="R6" s="97"/>
      <c r="S6" s="97"/>
      <c r="T6" s="97"/>
      <c r="U6" s="97"/>
      <c r="V6" s="97"/>
      <c r="W6" s="97"/>
      <c r="X6" s="97"/>
      <c r="Y6" s="97"/>
    </row>
    <row r="7" spans="1:25" s="79" customFormat="1" ht="12" customHeight="1">
      <c r="A7" s="56" t="s">
        <v>55</v>
      </c>
      <c r="B7" s="75" t="s">
        <v>56</v>
      </c>
      <c r="C7" s="76" t="s">
        <v>57</v>
      </c>
      <c r="D7" s="56" t="s">
        <v>58</v>
      </c>
      <c r="E7" s="77">
        <v>-4328</v>
      </c>
      <c r="F7" s="77">
        <v>-3990.29</v>
      </c>
      <c r="G7" s="77">
        <v>-3990.62</v>
      </c>
      <c r="H7" s="77">
        <v>-3839.45</v>
      </c>
      <c r="I7" s="77">
        <v>-3817.86</v>
      </c>
      <c r="J7" s="77">
        <v>-4111.9799999999996</v>
      </c>
      <c r="K7" s="77">
        <v>-4484.66</v>
      </c>
      <c r="L7" s="77">
        <v>-4222.71</v>
      </c>
      <c r="M7" s="77">
        <v>-4838.3</v>
      </c>
      <c r="N7" s="77">
        <v>-3259.32</v>
      </c>
      <c r="O7" s="77">
        <v>0</v>
      </c>
      <c r="P7" s="77">
        <v>-2125.7199999999998</v>
      </c>
      <c r="Q7" s="78"/>
      <c r="R7" s="78"/>
      <c r="S7" s="78"/>
      <c r="T7" s="78"/>
      <c r="U7" s="78"/>
      <c r="V7" s="78"/>
      <c r="W7" s="78"/>
      <c r="X7" s="78"/>
      <c r="Y7" s="78"/>
    </row>
    <row r="8" spans="1:25" s="82" customFormat="1" ht="12" customHeight="1">
      <c r="A8" s="56" t="s">
        <v>55</v>
      </c>
      <c r="B8" s="75" t="s">
        <v>59</v>
      </c>
      <c r="C8" s="76" t="s">
        <v>57</v>
      </c>
      <c r="D8" s="74" t="s">
        <v>59</v>
      </c>
      <c r="E8" s="80">
        <f>SUM(E7)</f>
        <v>-4328</v>
      </c>
      <c r="F8" s="80">
        <f t="shared" ref="F8:P8" si="0">SUM(F7)</f>
        <v>-3990.29</v>
      </c>
      <c r="G8" s="80">
        <f t="shared" si="0"/>
        <v>-3990.62</v>
      </c>
      <c r="H8" s="80">
        <f t="shared" si="0"/>
        <v>-3839.45</v>
      </c>
      <c r="I8" s="80">
        <f t="shared" si="0"/>
        <v>-3817.86</v>
      </c>
      <c r="J8" s="80">
        <f t="shared" si="0"/>
        <v>-4111.9799999999996</v>
      </c>
      <c r="K8" s="80">
        <f t="shared" si="0"/>
        <v>-4484.66</v>
      </c>
      <c r="L8" s="80">
        <f t="shared" si="0"/>
        <v>-4222.71</v>
      </c>
      <c r="M8" s="80">
        <f t="shared" si="0"/>
        <v>-4838.3</v>
      </c>
      <c r="N8" s="80">
        <f t="shared" si="0"/>
        <v>-3259.32</v>
      </c>
      <c r="O8" s="80">
        <f t="shared" si="0"/>
        <v>0</v>
      </c>
      <c r="P8" s="80">
        <f t="shared" si="0"/>
        <v>-2125.7199999999998</v>
      </c>
      <c r="Q8" s="81"/>
      <c r="R8" s="81"/>
      <c r="S8" s="81"/>
      <c r="T8" s="81"/>
      <c r="U8" s="81"/>
      <c r="V8" s="81"/>
      <c r="W8" s="81"/>
      <c r="X8" s="81"/>
      <c r="Y8" s="81"/>
    </row>
    <row r="9" spans="1:25" s="79" customFormat="1" ht="12" customHeight="1">
      <c r="A9" s="56" t="s">
        <v>55</v>
      </c>
      <c r="B9" s="75" t="s">
        <v>56</v>
      </c>
      <c r="C9" s="76" t="s">
        <v>60</v>
      </c>
      <c r="D9" s="56" t="s">
        <v>61</v>
      </c>
      <c r="E9" s="77">
        <v>0</v>
      </c>
      <c r="F9" s="77">
        <v>0</v>
      </c>
      <c r="G9" s="77">
        <v>-2735</v>
      </c>
      <c r="H9" s="77">
        <v>0</v>
      </c>
      <c r="I9" s="77">
        <v>0</v>
      </c>
      <c r="J9" s="77">
        <v>0</v>
      </c>
      <c r="K9" s="77">
        <v>0</v>
      </c>
      <c r="L9" s="77">
        <v>0</v>
      </c>
      <c r="M9" s="77">
        <v>0</v>
      </c>
      <c r="N9" s="77">
        <v>0</v>
      </c>
      <c r="O9" s="77">
        <v>0</v>
      </c>
      <c r="P9" s="77">
        <v>0</v>
      </c>
      <c r="Q9" s="78"/>
      <c r="R9" s="78"/>
      <c r="S9" s="78"/>
      <c r="T9" s="78"/>
      <c r="U9" s="78"/>
      <c r="V9" s="78"/>
      <c r="W9" s="78"/>
      <c r="X9" s="78"/>
      <c r="Y9" s="78"/>
    </row>
    <row r="10" spans="1:25" s="79" customFormat="1" ht="12" customHeight="1">
      <c r="A10" s="56" t="s">
        <v>55</v>
      </c>
      <c r="B10" s="75" t="s">
        <v>56</v>
      </c>
      <c r="C10" s="76" t="s">
        <v>60</v>
      </c>
      <c r="D10" s="56" t="s">
        <v>62</v>
      </c>
      <c r="E10" s="77">
        <v>-1918</v>
      </c>
      <c r="F10" s="77">
        <v>-1970.98</v>
      </c>
      <c r="G10" s="77">
        <v>-2430.4699999999998</v>
      </c>
      <c r="H10" s="77">
        <v>-1660.32</v>
      </c>
      <c r="I10" s="77">
        <v>-3419.82</v>
      </c>
      <c r="J10" s="77">
        <v>-1996.6</v>
      </c>
      <c r="K10" s="77">
        <v>-1660.59</v>
      </c>
      <c r="L10" s="77">
        <v>124.35</v>
      </c>
      <c r="M10" s="77">
        <v>-5481.39</v>
      </c>
      <c r="N10" s="77">
        <v>-6336.58</v>
      </c>
      <c r="O10" s="77">
        <v>2700</v>
      </c>
      <c r="P10" s="77">
        <v>-30</v>
      </c>
      <c r="Q10" s="78"/>
      <c r="R10" s="78"/>
      <c r="S10" s="78"/>
      <c r="T10" s="78"/>
      <c r="U10" s="78"/>
      <c r="V10" s="78"/>
      <c r="W10" s="78"/>
      <c r="X10" s="78"/>
      <c r="Y10" s="78"/>
    </row>
    <row r="11" spans="1:25" s="79" customFormat="1" ht="12" customHeight="1">
      <c r="A11" s="56" t="s">
        <v>55</v>
      </c>
      <c r="B11" s="75" t="s">
        <v>56</v>
      </c>
      <c r="C11" s="76" t="s">
        <v>60</v>
      </c>
      <c r="D11" s="56" t="s">
        <v>63</v>
      </c>
      <c r="E11" s="77">
        <v>-33635</v>
      </c>
      <c r="F11" s="77">
        <v>-33635</v>
      </c>
      <c r="G11" s="77">
        <v>-32984</v>
      </c>
      <c r="H11" s="77">
        <v>-33845</v>
      </c>
      <c r="I11" s="77">
        <v>-34503</v>
      </c>
      <c r="J11" s="77">
        <v>-32536</v>
      </c>
      <c r="K11" s="77">
        <v>-35084.25</v>
      </c>
      <c r="L11" s="77">
        <v>-32434</v>
      </c>
      <c r="M11" s="77">
        <v>-33973.199999999997</v>
      </c>
      <c r="N11" s="77">
        <v>-34069</v>
      </c>
      <c r="O11" s="77">
        <v>-32760</v>
      </c>
      <c r="P11" s="77">
        <v>-32612</v>
      </c>
      <c r="Q11" s="78"/>
      <c r="R11" s="78"/>
      <c r="S11" s="78"/>
      <c r="T11" s="78"/>
      <c r="U11" s="78"/>
      <c r="V11" s="78"/>
      <c r="W11" s="78"/>
      <c r="X11" s="78"/>
      <c r="Y11" s="78"/>
    </row>
    <row r="12" spans="1:25" s="82" customFormat="1" ht="12" customHeight="1">
      <c r="A12" s="56" t="s">
        <v>55</v>
      </c>
      <c r="B12" s="75" t="s">
        <v>59</v>
      </c>
      <c r="C12" s="76"/>
      <c r="D12" s="74" t="s">
        <v>59</v>
      </c>
      <c r="E12" s="80">
        <f t="shared" ref="E12:P12" si="1">SUM(E9:E11)</f>
        <v>-35553</v>
      </c>
      <c r="F12" s="80">
        <f t="shared" si="1"/>
        <v>-35605.980000000003</v>
      </c>
      <c r="G12" s="80">
        <f t="shared" si="1"/>
        <v>-38149.47</v>
      </c>
      <c r="H12" s="80">
        <f t="shared" si="1"/>
        <v>-35505.32</v>
      </c>
      <c r="I12" s="80">
        <f t="shared" si="1"/>
        <v>-37922.82</v>
      </c>
      <c r="J12" s="80">
        <f t="shared" si="1"/>
        <v>-34532.6</v>
      </c>
      <c r="K12" s="80">
        <f t="shared" si="1"/>
        <v>-36744.839999999997</v>
      </c>
      <c r="L12" s="80">
        <f t="shared" si="1"/>
        <v>-32309.65</v>
      </c>
      <c r="M12" s="80">
        <f t="shared" si="1"/>
        <v>-39454.589999999997</v>
      </c>
      <c r="N12" s="80">
        <f t="shared" si="1"/>
        <v>-40405.58</v>
      </c>
      <c r="O12" s="80">
        <f t="shared" si="1"/>
        <v>-30060</v>
      </c>
      <c r="P12" s="80">
        <f t="shared" si="1"/>
        <v>-32642</v>
      </c>
      <c r="Q12" s="81"/>
      <c r="R12" s="81"/>
      <c r="S12" s="81"/>
      <c r="T12" s="81"/>
      <c r="U12" s="81"/>
      <c r="V12" s="81"/>
      <c r="W12" s="81"/>
      <c r="X12" s="81"/>
      <c r="Y12" s="81"/>
    </row>
    <row r="13" spans="1:25" s="79" customFormat="1" ht="12" customHeight="1">
      <c r="A13" s="56" t="s">
        <v>55</v>
      </c>
      <c r="B13" s="75" t="s">
        <v>56</v>
      </c>
      <c r="C13" s="76" t="s">
        <v>64</v>
      </c>
      <c r="D13" s="56" t="s">
        <v>58</v>
      </c>
      <c r="E13" s="77">
        <v>-8420508.8399999999</v>
      </c>
      <c r="F13" s="77">
        <v>-8110263.4299999997</v>
      </c>
      <c r="G13" s="77">
        <v>-7489561.2000000002</v>
      </c>
      <c r="H13" s="77">
        <v>-7434427.04</v>
      </c>
      <c r="I13" s="77">
        <v>-7850416.3600000003</v>
      </c>
      <c r="J13" s="77">
        <v>-7660703.0700000003</v>
      </c>
      <c r="K13" s="77">
        <v>-11136928.869999999</v>
      </c>
      <c r="L13" s="77">
        <v>-9858066.8399999999</v>
      </c>
      <c r="M13" s="77">
        <v>-10389763.539999999</v>
      </c>
      <c r="N13" s="77">
        <v>-7591438.1900000004</v>
      </c>
      <c r="O13" s="77">
        <v>-7680670.1799999997</v>
      </c>
      <c r="P13" s="77">
        <v>-7380623.6200000001</v>
      </c>
      <c r="Q13" s="78"/>
      <c r="R13" s="78"/>
      <c r="S13" s="78"/>
      <c r="T13" s="78"/>
      <c r="U13" s="78"/>
      <c r="V13" s="78"/>
      <c r="W13" s="78"/>
      <c r="X13" s="78"/>
      <c r="Y13" s="78"/>
    </row>
    <row r="14" spans="1:25" s="82" customFormat="1" ht="12" customHeight="1">
      <c r="A14" s="56" t="s">
        <v>55</v>
      </c>
      <c r="B14" s="75" t="s">
        <v>59</v>
      </c>
      <c r="C14" s="76" t="s">
        <v>64</v>
      </c>
      <c r="D14" s="74" t="s">
        <v>59</v>
      </c>
      <c r="E14" s="80">
        <f>SUM(E13)</f>
        <v>-8420508.8399999999</v>
      </c>
      <c r="F14" s="80">
        <f>SUM(F13)</f>
        <v>-8110263.4299999997</v>
      </c>
      <c r="G14" s="80">
        <f t="shared" ref="G14:P14" si="2">SUM(G13)</f>
        <v>-7489561.2000000002</v>
      </c>
      <c r="H14" s="80">
        <f t="shared" si="2"/>
        <v>-7434427.04</v>
      </c>
      <c r="I14" s="80">
        <f t="shared" si="2"/>
        <v>-7850416.3600000003</v>
      </c>
      <c r="J14" s="80">
        <f t="shared" si="2"/>
        <v>-7660703.0700000003</v>
      </c>
      <c r="K14" s="80">
        <f t="shared" si="2"/>
        <v>-11136928.869999999</v>
      </c>
      <c r="L14" s="80">
        <f t="shared" si="2"/>
        <v>-9858066.8399999999</v>
      </c>
      <c r="M14" s="80">
        <f t="shared" si="2"/>
        <v>-10389763.539999999</v>
      </c>
      <c r="N14" s="80">
        <f t="shared" si="2"/>
        <v>-7591438.1900000004</v>
      </c>
      <c r="O14" s="80">
        <f t="shared" si="2"/>
        <v>-7680670.1799999997</v>
      </c>
      <c r="P14" s="80">
        <f t="shared" si="2"/>
        <v>-7380623.6200000001</v>
      </c>
      <c r="Q14" s="81"/>
      <c r="R14" s="81"/>
      <c r="S14" s="81"/>
      <c r="T14" s="81"/>
      <c r="U14" s="81"/>
      <c r="V14" s="81"/>
      <c r="W14" s="81"/>
      <c r="X14" s="81"/>
      <c r="Y14" s="81"/>
    </row>
    <row r="15" spans="1:25" s="79" customFormat="1" ht="12" customHeight="1">
      <c r="A15" s="56" t="s">
        <v>55</v>
      </c>
      <c r="B15" s="75" t="s">
        <v>65</v>
      </c>
      <c r="C15" s="76" t="s">
        <v>66</v>
      </c>
      <c r="D15" s="56" t="s">
        <v>62</v>
      </c>
      <c r="E15" s="77">
        <v>35500.949999999997</v>
      </c>
      <c r="F15" s="77">
        <v>24210.95</v>
      </c>
      <c r="G15" s="77">
        <v>41241.32</v>
      </c>
      <c r="H15" s="77">
        <v>26123</v>
      </c>
      <c r="I15" s="77">
        <v>32233</v>
      </c>
      <c r="J15" s="77">
        <v>31527</v>
      </c>
      <c r="K15" s="77">
        <v>32471</v>
      </c>
      <c r="L15" s="77">
        <v>35288</v>
      </c>
      <c r="M15" s="77">
        <v>27349</v>
      </c>
      <c r="N15" s="77">
        <v>27343</v>
      </c>
      <c r="O15" s="77">
        <v>28172</v>
      </c>
      <c r="P15" s="77">
        <v>33589</v>
      </c>
      <c r="Q15" s="78"/>
      <c r="R15" s="78"/>
      <c r="S15" s="78"/>
      <c r="T15" s="78"/>
      <c r="U15" s="78"/>
      <c r="V15" s="78"/>
      <c r="W15" s="78"/>
      <c r="X15" s="78"/>
      <c r="Y15" s="78"/>
    </row>
    <row r="16" spans="1:25" s="82" customFormat="1" ht="12" customHeight="1">
      <c r="A16" s="56" t="s">
        <v>55</v>
      </c>
      <c r="B16" s="75" t="s">
        <v>59</v>
      </c>
      <c r="C16" s="76"/>
      <c r="D16" s="74" t="s">
        <v>59</v>
      </c>
      <c r="E16" s="80">
        <f t="shared" ref="E16:P16" si="3">SUM(E15)</f>
        <v>35500.949999999997</v>
      </c>
      <c r="F16" s="80">
        <f t="shared" si="3"/>
        <v>24210.95</v>
      </c>
      <c r="G16" s="80">
        <f t="shared" si="3"/>
        <v>41241.32</v>
      </c>
      <c r="H16" s="80">
        <f t="shared" si="3"/>
        <v>26123</v>
      </c>
      <c r="I16" s="80">
        <f t="shared" si="3"/>
        <v>32233</v>
      </c>
      <c r="J16" s="80">
        <f t="shared" si="3"/>
        <v>31527</v>
      </c>
      <c r="K16" s="80">
        <f t="shared" si="3"/>
        <v>32471</v>
      </c>
      <c r="L16" s="80">
        <f t="shared" si="3"/>
        <v>35288</v>
      </c>
      <c r="M16" s="80">
        <f t="shared" si="3"/>
        <v>27349</v>
      </c>
      <c r="N16" s="80">
        <f t="shared" si="3"/>
        <v>27343</v>
      </c>
      <c r="O16" s="80">
        <f t="shared" si="3"/>
        <v>28172</v>
      </c>
      <c r="P16" s="80">
        <f t="shared" si="3"/>
        <v>33589</v>
      </c>
      <c r="Q16" s="81"/>
      <c r="R16" s="81"/>
      <c r="S16" s="81"/>
      <c r="T16" s="81"/>
      <c r="U16" s="81"/>
      <c r="V16" s="81"/>
      <c r="W16" s="81"/>
      <c r="X16" s="81"/>
      <c r="Y16" s="81"/>
    </row>
    <row r="17" spans="1:25" s="79" customFormat="1" ht="12" customHeight="1">
      <c r="A17" s="56" t="s">
        <v>55</v>
      </c>
      <c r="B17" s="75" t="s">
        <v>28</v>
      </c>
      <c r="C17" s="76" t="s">
        <v>67</v>
      </c>
      <c r="D17" s="56" t="s">
        <v>68</v>
      </c>
      <c r="E17" s="77">
        <v>0</v>
      </c>
      <c r="F17" s="77">
        <v>0</v>
      </c>
      <c r="G17" s="77">
        <v>0</v>
      </c>
      <c r="H17" s="77">
        <v>0</v>
      </c>
      <c r="I17" s="77">
        <v>0</v>
      </c>
      <c r="J17" s="77">
        <v>0</v>
      </c>
      <c r="K17" s="77">
        <v>0</v>
      </c>
      <c r="L17" s="77">
        <v>0</v>
      </c>
      <c r="M17" s="77">
        <v>0</v>
      </c>
      <c r="N17" s="77">
        <v>0</v>
      </c>
      <c r="O17" s="77">
        <v>0</v>
      </c>
      <c r="P17" s="77">
        <v>0</v>
      </c>
      <c r="Q17" s="78"/>
      <c r="R17" s="78"/>
      <c r="S17" s="78"/>
      <c r="T17" s="78"/>
      <c r="U17" s="78"/>
      <c r="V17" s="78"/>
      <c r="W17" s="78"/>
      <c r="X17" s="78"/>
      <c r="Y17" s="78"/>
    </row>
    <row r="18" spans="1:25" s="79" customFormat="1" ht="12" customHeight="1">
      <c r="A18" s="56" t="s">
        <v>55</v>
      </c>
      <c r="B18" s="75" t="s">
        <v>28</v>
      </c>
      <c r="C18" s="76" t="s">
        <v>67</v>
      </c>
      <c r="D18" s="56" t="s">
        <v>61</v>
      </c>
      <c r="E18" s="77">
        <v>19203.259999999998</v>
      </c>
      <c r="F18" s="77">
        <v>31298.22</v>
      </c>
      <c r="G18" s="77">
        <v>21319</v>
      </c>
      <c r="H18" s="77">
        <v>25800</v>
      </c>
      <c r="I18" s="77">
        <v>28652</v>
      </c>
      <c r="J18" s="77">
        <v>31034</v>
      </c>
      <c r="K18" s="77">
        <v>29518</v>
      </c>
      <c r="L18" s="77">
        <v>28654</v>
      </c>
      <c r="M18" s="77">
        <v>21938</v>
      </c>
      <c r="N18" s="77">
        <v>30933</v>
      </c>
      <c r="O18" s="77">
        <v>27132</v>
      </c>
      <c r="P18" s="77">
        <v>29759</v>
      </c>
      <c r="Q18" s="78"/>
      <c r="R18" s="78"/>
      <c r="S18" s="78"/>
      <c r="T18" s="78"/>
      <c r="U18" s="78"/>
      <c r="V18" s="78"/>
      <c r="W18" s="78"/>
      <c r="X18" s="78"/>
      <c r="Y18" s="78"/>
    </row>
    <row r="19" spans="1:25" s="79" customFormat="1" ht="12" customHeight="1">
      <c r="A19" s="56" t="s">
        <v>55</v>
      </c>
      <c r="B19" s="75" t="s">
        <v>28</v>
      </c>
      <c r="C19" s="76" t="s">
        <v>67</v>
      </c>
      <c r="D19" s="56" t="s">
        <v>62</v>
      </c>
      <c r="E19" s="77">
        <v>0</v>
      </c>
      <c r="F19" s="77">
        <v>0</v>
      </c>
      <c r="G19" s="77">
        <v>-76.260000000000005</v>
      </c>
      <c r="H19" s="77">
        <v>0</v>
      </c>
      <c r="I19" s="77">
        <v>0</v>
      </c>
      <c r="J19" s="77">
        <v>0</v>
      </c>
      <c r="K19" s="77">
        <v>0</v>
      </c>
      <c r="L19" s="77">
        <v>0</v>
      </c>
      <c r="M19" s="77">
        <v>0</v>
      </c>
      <c r="N19" s="77">
        <v>0</v>
      </c>
      <c r="O19" s="77">
        <v>0</v>
      </c>
      <c r="P19" s="77">
        <v>0</v>
      </c>
      <c r="Q19" s="78"/>
      <c r="R19" s="78"/>
      <c r="S19" s="78"/>
      <c r="T19" s="78"/>
      <c r="U19" s="78"/>
      <c r="V19" s="78"/>
      <c r="W19" s="78"/>
      <c r="X19" s="78"/>
      <c r="Y19" s="78"/>
    </row>
    <row r="20" spans="1:25" s="82" customFormat="1" ht="12" customHeight="1">
      <c r="A20" s="56" t="s">
        <v>55</v>
      </c>
      <c r="B20" s="75" t="s">
        <v>59</v>
      </c>
      <c r="C20" s="76"/>
      <c r="D20" s="74" t="s">
        <v>59</v>
      </c>
      <c r="E20" s="80">
        <f>SUM(E17:E19)</f>
        <v>19203.259999999998</v>
      </c>
      <c r="F20" s="80">
        <f t="shared" ref="F20:P20" si="4">SUM(F17:F19)</f>
        <v>31298.22</v>
      </c>
      <c r="G20" s="80">
        <f t="shared" si="4"/>
        <v>21242.74</v>
      </c>
      <c r="H20" s="80">
        <f t="shared" si="4"/>
        <v>25800</v>
      </c>
      <c r="I20" s="80">
        <f t="shared" si="4"/>
        <v>28652</v>
      </c>
      <c r="J20" s="80">
        <f t="shared" si="4"/>
        <v>31034</v>
      </c>
      <c r="K20" s="80">
        <f t="shared" si="4"/>
        <v>29518</v>
      </c>
      <c r="L20" s="80">
        <f t="shared" si="4"/>
        <v>28654</v>
      </c>
      <c r="M20" s="80">
        <f t="shared" si="4"/>
        <v>21938</v>
      </c>
      <c r="N20" s="80">
        <f t="shared" si="4"/>
        <v>30933</v>
      </c>
      <c r="O20" s="80">
        <f t="shared" si="4"/>
        <v>27132</v>
      </c>
      <c r="P20" s="80">
        <f t="shared" si="4"/>
        <v>29759</v>
      </c>
      <c r="Q20" s="81"/>
      <c r="R20" s="81"/>
      <c r="S20" s="81"/>
      <c r="T20" s="81"/>
      <c r="U20" s="81"/>
      <c r="V20" s="81"/>
      <c r="W20" s="81"/>
      <c r="X20" s="81"/>
      <c r="Y20" s="81"/>
    </row>
    <row r="21" spans="1:25" s="79" customFormat="1" ht="12" customHeight="1">
      <c r="A21" s="56" t="s">
        <v>69</v>
      </c>
      <c r="B21" s="75" t="s">
        <v>56</v>
      </c>
      <c r="C21" s="76" t="s">
        <v>60</v>
      </c>
      <c r="D21" s="56" t="s">
        <v>61</v>
      </c>
      <c r="E21" s="77">
        <v>0</v>
      </c>
      <c r="F21" s="77">
        <v>0</v>
      </c>
      <c r="G21" s="77">
        <v>0</v>
      </c>
      <c r="H21" s="77">
        <v>0</v>
      </c>
      <c r="I21" s="77">
        <v>0</v>
      </c>
      <c r="J21" s="77">
        <v>0</v>
      </c>
      <c r="K21" s="77">
        <v>0</v>
      </c>
      <c r="L21" s="77">
        <v>0</v>
      </c>
      <c r="M21" s="77">
        <v>0</v>
      </c>
      <c r="N21" s="77">
        <v>0</v>
      </c>
      <c r="O21" s="77">
        <v>0</v>
      </c>
      <c r="P21" s="77">
        <v>0</v>
      </c>
      <c r="Q21" s="78"/>
      <c r="R21" s="78"/>
      <c r="S21" s="78"/>
      <c r="T21" s="78"/>
      <c r="U21" s="78"/>
      <c r="V21" s="78"/>
      <c r="W21" s="78"/>
      <c r="X21" s="78"/>
      <c r="Y21" s="78"/>
    </row>
    <row r="22" spans="1:25" s="79" customFormat="1" ht="12.6" customHeight="1">
      <c r="A22" s="56" t="s">
        <v>69</v>
      </c>
      <c r="B22" s="75" t="s">
        <v>56</v>
      </c>
      <c r="C22" s="76" t="s">
        <v>60</v>
      </c>
      <c r="D22" s="56" t="s">
        <v>63</v>
      </c>
      <c r="E22" s="77">
        <v>-640622.77</v>
      </c>
      <c r="F22" s="77">
        <v>-636288.53</v>
      </c>
      <c r="G22" s="77">
        <v>-705659.8</v>
      </c>
      <c r="H22" s="77">
        <v>-696657.68</v>
      </c>
      <c r="I22" s="77">
        <v>-716583.82</v>
      </c>
      <c r="J22" s="77">
        <v>-700597.39</v>
      </c>
      <c r="K22" s="77">
        <v>-702298.61</v>
      </c>
      <c r="L22" s="77">
        <v>-1161008.51</v>
      </c>
      <c r="M22" s="77">
        <v>-709243.73</v>
      </c>
      <c r="N22" s="77">
        <v>-559267.37</v>
      </c>
      <c r="O22" s="77">
        <v>-852086.9</v>
      </c>
      <c r="P22" s="77">
        <v>-522421.59</v>
      </c>
      <c r="Q22" s="78"/>
      <c r="R22" s="78"/>
      <c r="S22" s="78"/>
      <c r="T22" s="78"/>
      <c r="U22" s="78"/>
      <c r="V22" s="78"/>
      <c r="W22" s="78"/>
      <c r="X22" s="78"/>
      <c r="Y22" s="78"/>
    </row>
    <row r="23" spans="1:25" s="82" customFormat="1" ht="12" customHeight="1">
      <c r="A23" s="56" t="s">
        <v>69</v>
      </c>
      <c r="B23" s="75" t="s">
        <v>59</v>
      </c>
      <c r="C23" s="76"/>
      <c r="D23" s="74" t="s">
        <v>59</v>
      </c>
      <c r="E23" s="80">
        <f>SUM(E21:E22)</f>
        <v>-640622.77</v>
      </c>
      <c r="F23" s="80">
        <f t="shared" ref="F23:P23" si="5">SUM(F21:F22)</f>
        <v>-636288.53</v>
      </c>
      <c r="G23" s="80">
        <f t="shared" si="5"/>
        <v>-705659.8</v>
      </c>
      <c r="H23" s="80">
        <f t="shared" si="5"/>
        <v>-696657.68</v>
      </c>
      <c r="I23" s="80">
        <f t="shared" si="5"/>
        <v>-716583.82</v>
      </c>
      <c r="J23" s="80">
        <f t="shared" si="5"/>
        <v>-700597.39</v>
      </c>
      <c r="K23" s="80">
        <f t="shared" si="5"/>
        <v>-702298.61</v>
      </c>
      <c r="L23" s="80">
        <f t="shared" si="5"/>
        <v>-1161008.51</v>
      </c>
      <c r="M23" s="80">
        <f t="shared" si="5"/>
        <v>-709243.73</v>
      </c>
      <c r="N23" s="80">
        <f t="shared" si="5"/>
        <v>-559267.37</v>
      </c>
      <c r="O23" s="80">
        <f t="shared" si="5"/>
        <v>-852086.9</v>
      </c>
      <c r="P23" s="80">
        <f t="shared" si="5"/>
        <v>-522421.59</v>
      </c>
      <c r="Q23" s="81"/>
      <c r="R23" s="81"/>
      <c r="S23" s="81"/>
      <c r="T23" s="81"/>
      <c r="U23" s="81"/>
      <c r="V23" s="81"/>
      <c r="W23" s="81"/>
      <c r="X23" s="81"/>
      <c r="Y23" s="81"/>
    </row>
    <row r="24" spans="1:25" s="79" customFormat="1" ht="12" customHeight="1">
      <c r="A24" s="56" t="s">
        <v>69</v>
      </c>
      <c r="B24" s="75" t="s">
        <v>56</v>
      </c>
      <c r="C24" s="76" t="s">
        <v>64</v>
      </c>
      <c r="D24" s="56" t="s">
        <v>58</v>
      </c>
      <c r="E24" s="77">
        <v>-19253389.969999999</v>
      </c>
      <c r="F24" s="77">
        <v>-16227016.039999999</v>
      </c>
      <c r="G24" s="77">
        <v>-17928777.91</v>
      </c>
      <c r="H24" s="77">
        <v>-16835148.079999998</v>
      </c>
      <c r="I24" s="77">
        <v>-15369889.779999999</v>
      </c>
      <c r="J24" s="77">
        <v>-17292177.359999999</v>
      </c>
      <c r="K24" s="77">
        <v>-24837841.800000001</v>
      </c>
      <c r="L24" s="77">
        <v>-22534389.699999999</v>
      </c>
      <c r="M24" s="77">
        <v>-21827423.09</v>
      </c>
      <c r="N24" s="77">
        <v>-18076038.940000001</v>
      </c>
      <c r="O24" s="77">
        <v>-16252553.880000001</v>
      </c>
      <c r="P24" s="77">
        <v>-17960185.859999999</v>
      </c>
      <c r="Q24" s="78"/>
      <c r="R24" s="78"/>
      <c r="S24" s="78"/>
      <c r="T24" s="78"/>
      <c r="U24" s="78"/>
      <c r="V24" s="78"/>
      <c r="W24" s="78"/>
      <c r="X24" s="78"/>
      <c r="Y24" s="78"/>
    </row>
    <row r="25" spans="1:25" s="82" customFormat="1" ht="12" customHeight="1">
      <c r="A25" s="56" t="s">
        <v>69</v>
      </c>
      <c r="B25" s="75" t="s">
        <v>59</v>
      </c>
      <c r="C25" s="76"/>
      <c r="D25" s="74" t="s">
        <v>59</v>
      </c>
      <c r="E25" s="80">
        <f>SUM(E24)</f>
        <v>-19253389.969999999</v>
      </c>
      <c r="F25" s="80">
        <f t="shared" ref="F25:P25" si="6">SUM(F24)</f>
        <v>-16227016.039999999</v>
      </c>
      <c r="G25" s="80">
        <f t="shared" si="6"/>
        <v>-17928777.91</v>
      </c>
      <c r="H25" s="80">
        <f t="shared" si="6"/>
        <v>-16835148.079999998</v>
      </c>
      <c r="I25" s="80">
        <f t="shared" si="6"/>
        <v>-15369889.779999999</v>
      </c>
      <c r="J25" s="80">
        <f t="shared" si="6"/>
        <v>-17292177.359999999</v>
      </c>
      <c r="K25" s="80">
        <f t="shared" si="6"/>
        <v>-24837841.800000001</v>
      </c>
      <c r="L25" s="80">
        <f t="shared" si="6"/>
        <v>-22534389.699999999</v>
      </c>
      <c r="M25" s="80">
        <f t="shared" si="6"/>
        <v>-21827423.09</v>
      </c>
      <c r="N25" s="80">
        <f t="shared" si="6"/>
        <v>-18076038.940000001</v>
      </c>
      <c r="O25" s="80">
        <f t="shared" si="6"/>
        <v>-16252553.880000001</v>
      </c>
      <c r="P25" s="80">
        <f t="shared" si="6"/>
        <v>-17960185.859999999</v>
      </c>
      <c r="Q25" s="81"/>
      <c r="R25" s="81"/>
      <c r="S25" s="81"/>
      <c r="T25" s="81"/>
      <c r="U25" s="81"/>
      <c r="V25" s="81"/>
      <c r="W25" s="81"/>
      <c r="X25" s="81"/>
      <c r="Y25" s="81"/>
    </row>
    <row r="26" spans="1:25" s="79" customFormat="1" ht="12" customHeight="1">
      <c r="A26" s="56" t="s">
        <v>69</v>
      </c>
      <c r="B26" s="75" t="s">
        <v>65</v>
      </c>
      <c r="C26" s="76" t="s">
        <v>66</v>
      </c>
      <c r="D26" s="56" t="s">
        <v>58</v>
      </c>
      <c r="E26" s="77">
        <v>0</v>
      </c>
      <c r="F26" s="77">
        <v>0</v>
      </c>
      <c r="G26" s="77">
        <v>0</v>
      </c>
      <c r="H26" s="77">
        <v>0</v>
      </c>
      <c r="I26" s="77">
        <v>0</v>
      </c>
      <c r="J26" s="77">
        <v>0</v>
      </c>
      <c r="K26" s="77">
        <v>0</v>
      </c>
      <c r="L26" s="77">
        <v>0</v>
      </c>
      <c r="M26" s="77">
        <v>0</v>
      </c>
      <c r="N26" s="77">
        <v>0</v>
      </c>
      <c r="O26" s="77">
        <v>0</v>
      </c>
      <c r="P26" s="77">
        <v>0</v>
      </c>
      <c r="Q26" s="78"/>
      <c r="R26" s="78"/>
      <c r="S26" s="78"/>
      <c r="T26" s="78"/>
      <c r="U26" s="78"/>
      <c r="V26" s="78"/>
      <c r="W26" s="78"/>
      <c r="X26" s="78"/>
      <c r="Y26" s="78"/>
    </row>
    <row r="27" spans="1:25" s="79" customFormat="1" ht="12" customHeight="1">
      <c r="A27" s="56" t="s">
        <v>69</v>
      </c>
      <c r="B27" s="75" t="s">
        <v>65</v>
      </c>
      <c r="C27" s="76" t="s">
        <v>66</v>
      </c>
      <c r="D27" s="56" t="s">
        <v>62</v>
      </c>
      <c r="E27" s="77">
        <v>686673.01</v>
      </c>
      <c r="F27" s="77">
        <v>867081.49</v>
      </c>
      <c r="G27" s="77">
        <v>6727.15</v>
      </c>
      <c r="H27" s="77">
        <v>401.530000000006</v>
      </c>
      <c r="I27" s="77">
        <v>144797.4</v>
      </c>
      <c r="J27" s="77">
        <v>652415.07999999996</v>
      </c>
      <c r="K27" s="77">
        <v>27790.66</v>
      </c>
      <c r="L27" s="77">
        <v>507467.89</v>
      </c>
      <c r="M27" s="77">
        <v>241353.12</v>
      </c>
      <c r="N27" s="77">
        <v>95261.1</v>
      </c>
      <c r="O27" s="77">
        <v>197723.18</v>
      </c>
      <c r="P27" s="77">
        <v>175247.34</v>
      </c>
      <c r="Q27" s="78"/>
      <c r="R27" s="78"/>
      <c r="S27" s="78"/>
      <c r="T27" s="78"/>
      <c r="U27" s="78"/>
      <c r="V27" s="78"/>
      <c r="W27" s="78"/>
      <c r="X27" s="78"/>
      <c r="Y27" s="78"/>
    </row>
    <row r="28" spans="1:25" s="82" customFormat="1" ht="12" customHeight="1">
      <c r="A28" s="56" t="s">
        <v>69</v>
      </c>
      <c r="B28" s="75" t="s">
        <v>59</v>
      </c>
      <c r="C28" s="76"/>
      <c r="D28" s="74" t="s">
        <v>59</v>
      </c>
      <c r="E28" s="80">
        <f>SUM(E26:E27)</f>
        <v>686673.01</v>
      </c>
      <c r="F28" s="80">
        <f t="shared" ref="F28:P28" si="7">SUM(F26:F27)</f>
        <v>867081.49</v>
      </c>
      <c r="G28" s="80">
        <f t="shared" si="7"/>
        <v>6727.15</v>
      </c>
      <c r="H28" s="80">
        <f t="shared" si="7"/>
        <v>401.530000000006</v>
      </c>
      <c r="I28" s="80">
        <f t="shared" si="7"/>
        <v>144797.4</v>
      </c>
      <c r="J28" s="80">
        <f t="shared" si="7"/>
        <v>652415.07999999996</v>
      </c>
      <c r="K28" s="80">
        <f t="shared" si="7"/>
        <v>27790.66</v>
      </c>
      <c r="L28" s="80">
        <f t="shared" si="7"/>
        <v>507467.89</v>
      </c>
      <c r="M28" s="80">
        <f t="shared" si="7"/>
        <v>241353.12</v>
      </c>
      <c r="N28" s="80">
        <f t="shared" si="7"/>
        <v>95261.1</v>
      </c>
      <c r="O28" s="80">
        <f t="shared" si="7"/>
        <v>197723.18</v>
      </c>
      <c r="P28" s="80">
        <f t="shared" si="7"/>
        <v>175247.34</v>
      </c>
      <c r="Q28" s="81"/>
      <c r="R28" s="81"/>
      <c r="S28" s="81"/>
      <c r="T28" s="81"/>
      <c r="U28" s="81"/>
      <c r="V28" s="81"/>
      <c r="W28" s="81"/>
      <c r="X28" s="81"/>
      <c r="Y28" s="81"/>
    </row>
    <row r="29" spans="1:25" s="79" customFormat="1" ht="12" customHeight="1">
      <c r="A29" s="56" t="s">
        <v>69</v>
      </c>
      <c r="B29" s="75" t="s">
        <v>28</v>
      </c>
      <c r="C29" s="76" t="s">
        <v>67</v>
      </c>
      <c r="D29" s="56" t="s">
        <v>61</v>
      </c>
      <c r="E29" s="77">
        <v>419.97</v>
      </c>
      <c r="F29" s="77">
        <v>1185.1199999999999</v>
      </c>
      <c r="G29" s="77">
        <v>385.22</v>
      </c>
      <c r="H29" s="77">
        <v>-1715.64</v>
      </c>
      <c r="I29" s="77">
        <v>2183.44</v>
      </c>
      <c r="J29" s="77">
        <v>2171.11</v>
      </c>
      <c r="K29" s="77">
        <v>-4629.22</v>
      </c>
      <c r="L29" s="77">
        <v>0</v>
      </c>
      <c r="M29" s="77">
        <v>504.62</v>
      </c>
      <c r="N29" s="77">
        <v>196.37</v>
      </c>
      <c r="O29" s="77">
        <v>0</v>
      </c>
      <c r="P29" s="77">
        <v>438.21</v>
      </c>
      <c r="Q29" s="78"/>
      <c r="R29" s="78"/>
      <c r="S29" s="78"/>
      <c r="T29" s="78"/>
      <c r="U29" s="78"/>
      <c r="V29" s="78"/>
      <c r="W29" s="78"/>
      <c r="X29" s="78"/>
      <c r="Y29" s="78"/>
    </row>
    <row r="30" spans="1:25" s="79" customFormat="1" ht="12" customHeight="1">
      <c r="A30" s="56" t="s">
        <v>69</v>
      </c>
      <c r="B30" s="75" t="s">
        <v>28</v>
      </c>
      <c r="C30" s="76" t="s">
        <v>67</v>
      </c>
      <c r="D30" s="56" t="s">
        <v>62</v>
      </c>
      <c r="E30" s="77">
        <v>241319.39</v>
      </c>
      <c r="F30" s="77">
        <v>226992.54</v>
      </c>
      <c r="G30" s="77">
        <v>361607.83</v>
      </c>
      <c r="H30" s="77">
        <v>213619.63</v>
      </c>
      <c r="I30" s="77">
        <v>234778.41</v>
      </c>
      <c r="J30" s="77">
        <v>291204.88</v>
      </c>
      <c r="K30" s="77">
        <v>340663.51</v>
      </c>
      <c r="L30" s="77">
        <v>333661.90999999997</v>
      </c>
      <c r="M30" s="77">
        <v>288075.71000000002</v>
      </c>
      <c r="N30" s="77">
        <v>269918.43</v>
      </c>
      <c r="O30" s="77">
        <v>279490.76</v>
      </c>
      <c r="P30" s="77">
        <v>423169.31</v>
      </c>
      <c r="Q30" s="78"/>
      <c r="R30" s="78"/>
      <c r="S30" s="78"/>
      <c r="T30" s="78"/>
      <c r="U30" s="78"/>
      <c r="V30" s="78"/>
      <c r="W30" s="78"/>
      <c r="X30" s="78"/>
      <c r="Y30" s="78"/>
    </row>
    <row r="31" spans="1:25" s="79" customFormat="1" ht="12" customHeight="1">
      <c r="A31" s="56" t="s">
        <v>69</v>
      </c>
      <c r="B31" s="75" t="s">
        <v>28</v>
      </c>
      <c r="C31" s="76" t="s">
        <v>67</v>
      </c>
      <c r="D31" s="56" t="s">
        <v>70</v>
      </c>
      <c r="E31" s="77">
        <v>0</v>
      </c>
      <c r="F31" s="77">
        <v>0</v>
      </c>
      <c r="G31" s="77">
        <v>0</v>
      </c>
      <c r="H31" s="77">
        <v>0</v>
      </c>
      <c r="I31" s="77">
        <v>0</v>
      </c>
      <c r="J31" s="77">
        <v>-629.44000000000005</v>
      </c>
      <c r="K31" s="77">
        <v>0</v>
      </c>
      <c r="L31" s="77">
        <v>629.44000000000005</v>
      </c>
      <c r="M31" s="77">
        <v>0</v>
      </c>
      <c r="N31" s="77">
        <v>0</v>
      </c>
      <c r="O31" s="77">
        <v>0</v>
      </c>
      <c r="P31" s="77">
        <v>0</v>
      </c>
      <c r="Q31" s="78"/>
      <c r="R31" s="78"/>
      <c r="S31" s="78"/>
      <c r="T31" s="78"/>
      <c r="U31" s="78"/>
      <c r="V31" s="78"/>
      <c r="W31" s="78"/>
      <c r="X31" s="78"/>
      <c r="Y31" s="78"/>
    </row>
    <row r="32" spans="1:25" s="79" customFormat="1" ht="12" customHeight="1">
      <c r="A32" s="56" t="s">
        <v>69</v>
      </c>
      <c r="B32" s="75" t="s">
        <v>28</v>
      </c>
      <c r="C32" s="76" t="s">
        <v>67</v>
      </c>
      <c r="D32" s="56" t="s">
        <v>63</v>
      </c>
      <c r="E32" s="77">
        <v>191.67</v>
      </c>
      <c r="F32" s="77">
        <v>0</v>
      </c>
      <c r="G32" s="77">
        <v>95.38</v>
      </c>
      <c r="H32" s="77">
        <v>-215.71</v>
      </c>
      <c r="I32" s="77">
        <v>384.38</v>
      </c>
      <c r="J32" s="77">
        <v>385.02</v>
      </c>
      <c r="K32" s="77">
        <v>-161.94999999999999</v>
      </c>
      <c r="L32" s="77">
        <v>-678.79</v>
      </c>
      <c r="M32" s="77">
        <v>0</v>
      </c>
      <c r="N32" s="77">
        <v>0</v>
      </c>
      <c r="O32" s="77">
        <v>52.74</v>
      </c>
      <c r="P32" s="77">
        <v>0</v>
      </c>
      <c r="Q32" s="78"/>
      <c r="R32" s="78"/>
      <c r="S32" s="78"/>
      <c r="T32" s="78"/>
      <c r="U32" s="78"/>
      <c r="V32" s="78"/>
      <c r="W32" s="78"/>
      <c r="X32" s="78"/>
      <c r="Y32" s="78"/>
    </row>
    <row r="33" spans="1:25" s="79" customFormat="1" ht="12" customHeight="1">
      <c r="A33" s="56" t="s">
        <v>69</v>
      </c>
      <c r="B33" s="75" t="s">
        <v>59</v>
      </c>
      <c r="C33" s="76"/>
      <c r="D33" s="74" t="s">
        <v>59</v>
      </c>
      <c r="E33" s="77">
        <f>SUM(E29:E32)</f>
        <v>241931.03000000003</v>
      </c>
      <c r="F33" s="77">
        <f t="shared" ref="F33:P33" si="8">SUM(F29:F32)</f>
        <v>228177.66</v>
      </c>
      <c r="G33" s="77">
        <f t="shared" si="8"/>
        <v>362088.43</v>
      </c>
      <c r="H33" s="77">
        <f t="shared" si="8"/>
        <v>211688.28</v>
      </c>
      <c r="I33" s="77">
        <f t="shared" si="8"/>
        <v>237346.23</v>
      </c>
      <c r="J33" s="77">
        <f t="shared" si="8"/>
        <v>293131.57</v>
      </c>
      <c r="K33" s="77">
        <f t="shared" si="8"/>
        <v>335872.34</v>
      </c>
      <c r="L33" s="77">
        <f t="shared" si="8"/>
        <v>333612.56</v>
      </c>
      <c r="M33" s="77">
        <f t="shared" si="8"/>
        <v>288580.33</v>
      </c>
      <c r="N33" s="77">
        <f t="shared" si="8"/>
        <v>270114.8</v>
      </c>
      <c r="O33" s="77">
        <f t="shared" si="8"/>
        <v>279543.5</v>
      </c>
      <c r="P33" s="77">
        <f t="shared" si="8"/>
        <v>423607.52</v>
      </c>
      <c r="Q33" s="78"/>
      <c r="R33" s="78"/>
      <c r="S33" s="78"/>
      <c r="T33" s="78"/>
      <c r="U33" s="78"/>
      <c r="V33" s="78"/>
      <c r="W33" s="78"/>
      <c r="X33" s="78"/>
      <c r="Y33" s="78"/>
    </row>
    <row r="34" spans="1:25" s="108" customFormat="1" ht="12.6" customHeight="1">
      <c r="A34" s="56" t="s">
        <v>71</v>
      </c>
      <c r="B34" s="109" t="str">
        <f t="array" ref="B34">INDEX($B$7:$C$32,MATCH(C34,$C$7:$C$32,0),1)</f>
        <v>Revenue</v>
      </c>
      <c r="C34" s="76" t="s">
        <v>57</v>
      </c>
      <c r="D34" s="56" t="s">
        <v>58</v>
      </c>
      <c r="E34" s="77">
        <v>-523060.08</v>
      </c>
      <c r="F34" s="77">
        <v>-625712.19999999995</v>
      </c>
      <c r="G34" s="77">
        <v>-1167977.1499999999</v>
      </c>
      <c r="H34" s="77">
        <v>-601018.46</v>
      </c>
      <c r="I34" s="77">
        <v>-704627.26</v>
      </c>
      <c r="J34" s="77">
        <v>-893577.78</v>
      </c>
      <c r="K34" s="77">
        <v>-363753.66</v>
      </c>
      <c r="L34" s="77">
        <v>-9808.77</v>
      </c>
      <c r="M34" s="77">
        <v>-1430059.67</v>
      </c>
      <c r="N34" s="77">
        <v>-682429.47</v>
      </c>
      <c r="O34" s="77">
        <v>-816344.46</v>
      </c>
      <c r="P34" s="77">
        <v>-368690.28</v>
      </c>
      <c r="Q34" s="78"/>
      <c r="R34" s="78"/>
      <c r="S34" s="78"/>
      <c r="T34" s="78"/>
      <c r="U34" s="78"/>
      <c r="V34" s="78"/>
      <c r="W34" s="78"/>
      <c r="X34" s="78"/>
      <c r="Y34" s="78"/>
    </row>
    <row r="35" spans="1:25" s="108" customFormat="1" ht="12" customHeight="1">
      <c r="A35" s="56" t="s">
        <v>71</v>
      </c>
      <c r="B35" s="109" t="s">
        <v>59</v>
      </c>
      <c r="C35" s="76"/>
      <c r="D35" s="74" t="s">
        <v>59</v>
      </c>
      <c r="E35" s="80">
        <f>SUM(E34)</f>
        <v>-523060.08</v>
      </c>
      <c r="F35" s="80">
        <f t="shared" ref="F35:P35" si="9">SUM(F34)</f>
        <v>-625712.19999999995</v>
      </c>
      <c r="G35" s="80">
        <f t="shared" si="9"/>
        <v>-1167977.1499999999</v>
      </c>
      <c r="H35" s="80">
        <f t="shared" si="9"/>
        <v>-601018.46</v>
      </c>
      <c r="I35" s="80">
        <f t="shared" si="9"/>
        <v>-704627.26</v>
      </c>
      <c r="J35" s="80">
        <f t="shared" si="9"/>
        <v>-893577.78</v>
      </c>
      <c r="K35" s="80">
        <f t="shared" si="9"/>
        <v>-363753.66</v>
      </c>
      <c r="L35" s="80">
        <f t="shared" si="9"/>
        <v>-9808.77</v>
      </c>
      <c r="M35" s="80">
        <f t="shared" si="9"/>
        <v>-1430059.67</v>
      </c>
      <c r="N35" s="80">
        <f t="shared" si="9"/>
        <v>-682429.47</v>
      </c>
      <c r="O35" s="80">
        <f t="shared" si="9"/>
        <v>-816344.46</v>
      </c>
      <c r="P35" s="80">
        <f t="shared" si="9"/>
        <v>-368690.28</v>
      </c>
      <c r="Q35" s="78"/>
      <c r="R35" s="78"/>
      <c r="S35" s="78"/>
      <c r="T35" s="78"/>
      <c r="U35" s="78"/>
      <c r="V35" s="78"/>
      <c r="W35" s="78"/>
      <c r="X35" s="78"/>
      <c r="Y35" s="78"/>
    </row>
    <row r="36" spans="1:25" s="108" customFormat="1" ht="12" customHeight="1">
      <c r="A36" s="56" t="s">
        <v>71</v>
      </c>
      <c r="B36" s="109" t="str">
        <f>INDEX($B$7:$C$32,MATCH(C36,$C$7:$C$32,0),1)</f>
        <v>Revenue</v>
      </c>
      <c r="C36" s="76" t="s">
        <v>60</v>
      </c>
      <c r="D36" s="56" t="s">
        <v>58</v>
      </c>
      <c r="E36" s="77">
        <v>-43875</v>
      </c>
      <c r="F36" s="77">
        <v>-42965</v>
      </c>
      <c r="G36" s="77">
        <v>-125182.5</v>
      </c>
      <c r="H36" s="77">
        <v>-52587.5</v>
      </c>
      <c r="I36" s="77">
        <v>-62990</v>
      </c>
      <c r="J36" s="77">
        <v>-33740</v>
      </c>
      <c r="K36" s="77">
        <v>-351677.5</v>
      </c>
      <c r="L36" s="77">
        <v>390387.5</v>
      </c>
      <c r="M36" s="77">
        <v>54180</v>
      </c>
      <c r="N36" s="77">
        <v>-61186.66</v>
      </c>
      <c r="O36" s="77">
        <v>-35663.339999999997</v>
      </c>
      <c r="P36" s="77">
        <v>44752.5</v>
      </c>
      <c r="Q36" s="78"/>
      <c r="R36" s="78"/>
      <c r="S36" s="78"/>
      <c r="T36" s="78"/>
      <c r="U36" s="78"/>
      <c r="V36" s="78"/>
      <c r="W36" s="78"/>
      <c r="X36" s="78"/>
      <c r="Y36" s="78"/>
    </row>
    <row r="37" spans="1:25" s="108" customFormat="1" ht="12" customHeight="1">
      <c r="A37" s="56" t="s">
        <v>71</v>
      </c>
      <c r="B37" s="109" t="str">
        <f>INDEX($B$7:$C$32,MATCH(C37,$C$7:$C$32,0),1)</f>
        <v>Revenue</v>
      </c>
      <c r="C37" s="76" t="s">
        <v>60</v>
      </c>
      <c r="D37" s="56" t="s">
        <v>61</v>
      </c>
      <c r="E37" s="77">
        <v>-14400</v>
      </c>
      <c r="F37" s="77">
        <v>-2640.08</v>
      </c>
      <c r="G37" s="77">
        <v>-22200</v>
      </c>
      <c r="H37" s="77">
        <v>-9700</v>
      </c>
      <c r="I37" s="77">
        <v>0</v>
      </c>
      <c r="J37" s="77">
        <v>0</v>
      </c>
      <c r="K37" s="77">
        <v>0</v>
      </c>
      <c r="L37" s="77">
        <v>-6900</v>
      </c>
      <c r="M37" s="77">
        <v>-11867.12</v>
      </c>
      <c r="N37" s="77">
        <v>-6600</v>
      </c>
      <c r="O37" s="77">
        <v>-21222.41</v>
      </c>
      <c r="P37" s="77">
        <v>-47356</v>
      </c>
      <c r="Q37" s="78"/>
      <c r="R37" s="78"/>
      <c r="S37" s="78"/>
      <c r="T37" s="78"/>
      <c r="U37" s="78"/>
      <c r="V37" s="78"/>
      <c r="W37" s="78"/>
      <c r="X37" s="78"/>
      <c r="Y37" s="78"/>
    </row>
    <row r="38" spans="1:25" s="108" customFormat="1" ht="12" customHeight="1">
      <c r="A38" s="56" t="s">
        <v>71</v>
      </c>
      <c r="B38" s="109" t="str">
        <f>INDEX($B$7:$C$32,MATCH(C38,$C$7:$C$32,0),1)</f>
        <v>Revenue</v>
      </c>
      <c r="C38" s="76" t="s">
        <v>60</v>
      </c>
      <c r="D38" s="56" t="s">
        <v>62</v>
      </c>
      <c r="E38" s="77">
        <v>-112019.04</v>
      </c>
      <c r="F38" s="77">
        <v>-56593.68</v>
      </c>
      <c r="G38" s="77">
        <v>15245.28</v>
      </c>
      <c r="H38" s="77">
        <v>-17989.46</v>
      </c>
      <c r="I38" s="77">
        <v>-39039.839999999997</v>
      </c>
      <c r="J38" s="77">
        <v>-12718.08</v>
      </c>
      <c r="K38" s="77">
        <v>-47213.279999999999</v>
      </c>
      <c r="L38" s="77">
        <v>-82579.679999999993</v>
      </c>
      <c r="M38" s="77">
        <v>-45786.239999999998</v>
      </c>
      <c r="N38" s="77">
        <v>-51798</v>
      </c>
      <c r="O38" s="77">
        <v>-63038.400000000001</v>
      </c>
      <c r="P38" s="77">
        <v>-59287.199999999997</v>
      </c>
      <c r="Q38" s="78"/>
      <c r="R38" s="78"/>
      <c r="S38" s="78"/>
      <c r="T38" s="78"/>
      <c r="U38" s="78"/>
      <c r="V38" s="78"/>
      <c r="W38" s="78"/>
      <c r="X38" s="78"/>
      <c r="Y38" s="78"/>
    </row>
    <row r="39" spans="1:25" s="108" customFormat="1" ht="12" customHeight="1">
      <c r="A39" s="56" t="s">
        <v>71</v>
      </c>
      <c r="B39" s="109" t="str">
        <f>INDEX($B$7:$C$32,MATCH(C39,$C$7:$C$32,0),1)</f>
        <v>Revenue</v>
      </c>
      <c r="C39" s="76" t="s">
        <v>60</v>
      </c>
      <c r="D39" s="56" t="s">
        <v>63</v>
      </c>
      <c r="E39" s="77">
        <v>0</v>
      </c>
      <c r="F39" s="77">
        <v>-155.6</v>
      </c>
      <c r="G39" s="77">
        <v>-78.400000000000006</v>
      </c>
      <c r="H39" s="77">
        <v>-14.3</v>
      </c>
      <c r="I39" s="77">
        <v>-14.3</v>
      </c>
      <c r="J39" s="77">
        <v>-14.3</v>
      </c>
      <c r="K39" s="77">
        <v>-14.3</v>
      </c>
      <c r="L39" s="77">
        <v>-9559.76</v>
      </c>
      <c r="M39" s="77">
        <v>-20.74</v>
      </c>
      <c r="N39" s="77">
        <v>-15.01</v>
      </c>
      <c r="O39" s="77">
        <v>-14.3</v>
      </c>
      <c r="P39" s="77">
        <v>-14.81</v>
      </c>
      <c r="Q39" s="78"/>
      <c r="R39" s="78"/>
      <c r="S39" s="78"/>
      <c r="T39" s="78"/>
      <c r="U39" s="78"/>
      <c r="V39" s="78"/>
      <c r="W39" s="78"/>
      <c r="X39" s="78"/>
      <c r="Y39" s="78"/>
    </row>
    <row r="40" spans="1:25" s="108" customFormat="1" ht="12" customHeight="1">
      <c r="A40" s="56" t="s">
        <v>71</v>
      </c>
      <c r="B40" s="109" t="s">
        <v>59</v>
      </c>
      <c r="C40" s="76"/>
      <c r="D40" s="74" t="s">
        <v>59</v>
      </c>
      <c r="E40" s="80">
        <f>SUM(E36:E39)</f>
        <v>-170294.03999999998</v>
      </c>
      <c r="F40" s="80">
        <f t="shared" ref="F40:P40" si="10">SUM(F36:F39)</f>
        <v>-102354.36000000002</v>
      </c>
      <c r="G40" s="80">
        <f t="shared" si="10"/>
        <v>-132215.62</v>
      </c>
      <c r="H40" s="80">
        <f t="shared" si="10"/>
        <v>-80291.259999999995</v>
      </c>
      <c r="I40" s="80">
        <f t="shared" si="10"/>
        <v>-102044.14</v>
      </c>
      <c r="J40" s="80">
        <f t="shared" si="10"/>
        <v>-46472.380000000005</v>
      </c>
      <c r="K40" s="80">
        <f t="shared" si="10"/>
        <v>-398905.08</v>
      </c>
      <c r="L40" s="80">
        <f t="shared" si="10"/>
        <v>291348.06</v>
      </c>
      <c r="M40" s="80">
        <f t="shared" si="10"/>
        <v>-3494.1000000000004</v>
      </c>
      <c r="N40" s="80">
        <f t="shared" si="10"/>
        <v>-119599.67</v>
      </c>
      <c r="O40" s="80">
        <f t="shared" si="10"/>
        <v>-119938.45</v>
      </c>
      <c r="P40" s="80">
        <f t="shared" si="10"/>
        <v>-61905.509999999995</v>
      </c>
      <c r="Q40" s="78"/>
      <c r="R40" s="78"/>
      <c r="S40" s="78"/>
      <c r="T40" s="78"/>
      <c r="U40" s="78"/>
      <c r="V40" s="78"/>
      <c r="W40" s="78"/>
      <c r="X40" s="78"/>
      <c r="Y40" s="78"/>
    </row>
    <row r="41" spans="1:25" s="108" customFormat="1" ht="12" customHeight="1">
      <c r="A41" s="56" t="s">
        <v>71</v>
      </c>
      <c r="B41" s="109" t="str">
        <f t="array" ref="B41">INDEX($B$7:$C$32,MATCH(C41,$C$7:$C$32,0),1)</f>
        <v>Revenue</v>
      </c>
      <c r="C41" s="76" t="s">
        <v>64</v>
      </c>
      <c r="D41" s="56" t="s">
        <v>58</v>
      </c>
      <c r="E41" s="77">
        <v>-14129829.77</v>
      </c>
      <c r="F41" s="77">
        <v>-15611382.09</v>
      </c>
      <c r="G41" s="77">
        <v>-13594969.91</v>
      </c>
      <c r="H41" s="77">
        <v>-12017513.630000001</v>
      </c>
      <c r="I41" s="77">
        <v>-13201916.050000001</v>
      </c>
      <c r="J41" s="77">
        <v>-11252368.68</v>
      </c>
      <c r="K41" s="77">
        <v>-17212321.559999999</v>
      </c>
      <c r="L41" s="77">
        <v>-17529825.809999999</v>
      </c>
      <c r="M41" s="77">
        <v>-15724212.93</v>
      </c>
      <c r="N41" s="77">
        <v>-16679290.880000001</v>
      </c>
      <c r="O41" s="77">
        <v>-16429594.83</v>
      </c>
      <c r="P41" s="77">
        <v>-17578135.390000001</v>
      </c>
      <c r="Q41" s="78"/>
      <c r="R41" s="78"/>
      <c r="S41" s="78"/>
      <c r="T41" s="78"/>
      <c r="U41" s="78"/>
      <c r="V41" s="78"/>
      <c r="W41" s="78"/>
      <c r="X41" s="78"/>
      <c r="Y41" s="78"/>
    </row>
    <row r="42" spans="1:25" s="108" customFormat="1" ht="12" customHeight="1">
      <c r="A42" s="56" t="s">
        <v>71</v>
      </c>
      <c r="B42" s="109" t="s">
        <v>59</v>
      </c>
      <c r="C42" s="76"/>
      <c r="D42" s="74" t="s">
        <v>59</v>
      </c>
      <c r="E42" s="80"/>
      <c r="F42" s="80">
        <f>SUM(F41)</f>
        <v>-15611382.09</v>
      </c>
      <c r="G42" s="80">
        <f t="shared" ref="G42:P42" si="11">SUM(G41)</f>
        <v>-13594969.91</v>
      </c>
      <c r="H42" s="80">
        <f t="shared" si="11"/>
        <v>-12017513.630000001</v>
      </c>
      <c r="I42" s="80">
        <f t="shared" si="11"/>
        <v>-13201916.050000001</v>
      </c>
      <c r="J42" s="80">
        <f t="shared" si="11"/>
        <v>-11252368.68</v>
      </c>
      <c r="K42" s="80">
        <f t="shared" si="11"/>
        <v>-17212321.559999999</v>
      </c>
      <c r="L42" s="80">
        <f t="shared" si="11"/>
        <v>-17529825.809999999</v>
      </c>
      <c r="M42" s="80">
        <f t="shared" si="11"/>
        <v>-15724212.93</v>
      </c>
      <c r="N42" s="80">
        <f t="shared" si="11"/>
        <v>-16679290.880000001</v>
      </c>
      <c r="O42" s="80">
        <f t="shared" si="11"/>
        <v>-16429594.83</v>
      </c>
      <c r="P42" s="80">
        <f t="shared" si="11"/>
        <v>-17578135.390000001</v>
      </c>
      <c r="Q42" s="78"/>
      <c r="R42" s="78"/>
      <c r="S42" s="78"/>
      <c r="T42" s="78"/>
      <c r="U42" s="78"/>
      <c r="V42" s="78"/>
      <c r="W42" s="78"/>
      <c r="X42" s="78"/>
      <c r="Y42" s="78"/>
    </row>
    <row r="43" spans="1:25" s="108" customFormat="1" ht="12" customHeight="1">
      <c r="A43" s="56" t="s">
        <v>71</v>
      </c>
      <c r="B43" s="109" t="str">
        <f>INDEX($B$7:$C$32,MATCH(C43,$C$7:$C$32,0),1)</f>
        <v>Production Costs</v>
      </c>
      <c r="C43" s="76" t="s">
        <v>66</v>
      </c>
      <c r="D43" s="56" t="s">
        <v>58</v>
      </c>
      <c r="E43" s="77">
        <v>0</v>
      </c>
      <c r="F43" s="77">
        <v>0</v>
      </c>
      <c r="G43" s="77">
        <v>0</v>
      </c>
      <c r="H43" s="77">
        <v>0</v>
      </c>
      <c r="I43" s="77">
        <v>0</v>
      </c>
      <c r="J43" s="77">
        <v>0</v>
      </c>
      <c r="K43" s="77">
        <v>0</v>
      </c>
      <c r="L43" s="77">
        <v>0</v>
      </c>
      <c r="M43" s="77">
        <v>0</v>
      </c>
      <c r="N43" s="77">
        <v>0</v>
      </c>
      <c r="O43" s="77">
        <v>0</v>
      </c>
      <c r="P43" s="77">
        <v>0</v>
      </c>
      <c r="Q43" s="78"/>
      <c r="R43" s="78"/>
      <c r="S43" s="78"/>
      <c r="T43" s="78"/>
      <c r="U43" s="78"/>
      <c r="V43" s="78"/>
      <c r="W43" s="78"/>
      <c r="X43" s="78"/>
      <c r="Y43" s="78"/>
    </row>
    <row r="44" spans="1:25" s="108" customFormat="1" ht="12" customHeight="1">
      <c r="A44" s="56" t="s">
        <v>71</v>
      </c>
      <c r="B44" s="109" t="str">
        <f>INDEX($B$7:$C$32,MATCH(C44,$C$7:$C$32,0),1)</f>
        <v>Production Costs</v>
      </c>
      <c r="C44" s="76" t="s">
        <v>66</v>
      </c>
      <c r="D44" s="56" t="s">
        <v>61</v>
      </c>
      <c r="E44" s="77">
        <v>0</v>
      </c>
      <c r="F44" s="77">
        <v>0</v>
      </c>
      <c r="G44" s="77">
        <v>1946.64</v>
      </c>
      <c r="H44" s="77">
        <v>2100.48</v>
      </c>
      <c r="I44" s="77">
        <v>1864.88</v>
      </c>
      <c r="J44" s="77">
        <v>1984.48</v>
      </c>
      <c r="K44" s="77">
        <v>2667.2</v>
      </c>
      <c r="L44" s="77">
        <v>0</v>
      </c>
      <c r="M44" s="77">
        <v>998.4</v>
      </c>
      <c r="N44" s="77">
        <v>0</v>
      </c>
      <c r="O44" s="77">
        <v>2326.08</v>
      </c>
      <c r="P44" s="77">
        <v>0</v>
      </c>
      <c r="Q44" s="78"/>
      <c r="R44" s="78"/>
      <c r="S44" s="78"/>
      <c r="T44" s="78"/>
      <c r="U44" s="78"/>
      <c r="V44" s="78"/>
      <c r="W44" s="78"/>
      <c r="X44" s="78"/>
      <c r="Y44" s="78"/>
    </row>
    <row r="45" spans="1:25" s="108" customFormat="1" ht="12" customHeight="1">
      <c r="A45" s="56" t="s">
        <v>71</v>
      </c>
      <c r="B45" s="109" t="str">
        <f>INDEX($B$7:$C$32,MATCH(C45,$C$7:$C$32,0),1)</f>
        <v>Production Costs</v>
      </c>
      <c r="C45" s="76" t="s">
        <v>66</v>
      </c>
      <c r="D45" s="56" t="s">
        <v>62</v>
      </c>
      <c r="E45" s="77">
        <v>125993.22</v>
      </c>
      <c r="F45" s="77">
        <v>75075.8</v>
      </c>
      <c r="G45" s="77">
        <v>42206.8</v>
      </c>
      <c r="H45" s="77">
        <v>69244.539999999994</v>
      </c>
      <c r="I45" s="77">
        <v>-22344.85</v>
      </c>
      <c r="J45" s="77">
        <v>7648.11</v>
      </c>
      <c r="K45" s="77">
        <v>473878.85</v>
      </c>
      <c r="L45" s="77">
        <v>464219.42</v>
      </c>
      <c r="M45" s="77">
        <v>220115.49</v>
      </c>
      <c r="N45" s="77">
        <v>224277.79</v>
      </c>
      <c r="O45" s="77">
        <v>261383.87</v>
      </c>
      <c r="P45" s="77">
        <v>-77601.91</v>
      </c>
      <c r="Q45" s="78"/>
      <c r="R45" s="78"/>
      <c r="S45" s="78"/>
      <c r="T45" s="78"/>
      <c r="U45" s="78"/>
      <c r="V45" s="78"/>
      <c r="W45" s="78"/>
      <c r="X45" s="78"/>
      <c r="Y45" s="78"/>
    </row>
    <row r="46" spans="1:25" s="108" customFormat="1" ht="12" customHeight="1">
      <c r="A46" s="56" t="s">
        <v>71</v>
      </c>
      <c r="B46" s="109" t="s">
        <v>59</v>
      </c>
      <c r="C46" s="76"/>
      <c r="D46" s="74" t="s">
        <v>59</v>
      </c>
      <c r="E46" s="80"/>
      <c r="F46" s="80"/>
      <c r="G46" s="80">
        <f>SUM(G43:G45)</f>
        <v>44153.440000000002</v>
      </c>
      <c r="H46" s="80">
        <f t="shared" ref="H46:P46" si="12">SUM(H43:H45)</f>
        <v>71345.01999999999</v>
      </c>
      <c r="I46" s="80">
        <f t="shared" si="12"/>
        <v>-20479.969999999998</v>
      </c>
      <c r="J46" s="80">
        <f t="shared" si="12"/>
        <v>9632.59</v>
      </c>
      <c r="K46" s="80">
        <f t="shared" si="12"/>
        <v>476546.05</v>
      </c>
      <c r="L46" s="80">
        <f t="shared" si="12"/>
        <v>464219.42</v>
      </c>
      <c r="M46" s="80">
        <f t="shared" si="12"/>
        <v>221113.88999999998</v>
      </c>
      <c r="N46" s="80">
        <f t="shared" si="12"/>
        <v>224277.79</v>
      </c>
      <c r="O46" s="80">
        <f t="shared" si="12"/>
        <v>263709.95</v>
      </c>
      <c r="P46" s="80">
        <f t="shared" si="12"/>
        <v>-77601.91</v>
      </c>
      <c r="Q46" s="78"/>
      <c r="R46" s="78"/>
      <c r="S46" s="78"/>
      <c r="T46" s="78"/>
      <c r="U46" s="78"/>
      <c r="V46" s="78"/>
      <c r="W46" s="78"/>
      <c r="X46" s="78"/>
      <c r="Y46" s="78"/>
    </row>
    <row r="47" spans="1:25" s="108" customFormat="1" ht="12" customHeight="1">
      <c r="A47" s="56" t="s">
        <v>71</v>
      </c>
      <c r="B47" s="109" t="str">
        <f>INDEX($B$7:$C$32,MATCH(C47,$C$7:$C$32,0),1)</f>
        <v>Other Production Costs</v>
      </c>
      <c r="C47" s="76" t="s">
        <v>67</v>
      </c>
      <c r="D47" s="56" t="s">
        <v>61</v>
      </c>
      <c r="E47" s="77">
        <v>3942.46</v>
      </c>
      <c r="F47" s="77">
        <v>18.18</v>
      </c>
      <c r="G47" s="77">
        <v>0</v>
      </c>
      <c r="H47" s="77">
        <v>-3960.64</v>
      </c>
      <c r="I47" s="77">
        <v>0</v>
      </c>
      <c r="J47" s="77">
        <v>0</v>
      </c>
      <c r="K47" s="77">
        <v>44.6</v>
      </c>
      <c r="L47" s="77">
        <v>0</v>
      </c>
      <c r="M47" s="77">
        <v>3801.77</v>
      </c>
      <c r="N47" s="77">
        <v>-3588.53</v>
      </c>
      <c r="O47" s="77">
        <v>0</v>
      </c>
      <c r="P47" s="77">
        <v>0</v>
      </c>
      <c r="Q47" s="78"/>
      <c r="R47" s="78"/>
      <c r="S47" s="78"/>
      <c r="T47" s="78"/>
      <c r="U47" s="78"/>
      <c r="V47" s="78"/>
      <c r="W47" s="78"/>
      <c r="X47" s="78"/>
      <c r="Y47" s="78"/>
    </row>
    <row r="48" spans="1:25" s="108" customFormat="1" ht="12" customHeight="1">
      <c r="A48" s="56" t="s">
        <v>71</v>
      </c>
      <c r="B48" s="109" t="str">
        <f>INDEX($B$7:$C$32,MATCH(C48,$C$7:$C$32,0),1)</f>
        <v>Other Production Costs</v>
      </c>
      <c r="C48" s="76" t="s">
        <v>67</v>
      </c>
      <c r="D48" s="56" t="s">
        <v>72</v>
      </c>
      <c r="E48" s="77">
        <v>0</v>
      </c>
      <c r="F48" s="77">
        <v>0</v>
      </c>
      <c r="G48" s="77">
        <v>0</v>
      </c>
      <c r="H48" s="77">
        <v>0</v>
      </c>
      <c r="I48" s="77">
        <v>0</v>
      </c>
      <c r="J48" s="77">
        <v>0</v>
      </c>
      <c r="K48" s="77">
        <v>0</v>
      </c>
      <c r="L48" s="77">
        <v>0</v>
      </c>
      <c r="M48" s="77">
        <v>0</v>
      </c>
      <c r="N48" s="77">
        <v>0</v>
      </c>
      <c r="O48" s="77">
        <v>0</v>
      </c>
      <c r="P48" s="77">
        <v>0</v>
      </c>
      <c r="Q48" s="78"/>
      <c r="R48" s="78"/>
      <c r="S48" s="78"/>
      <c r="T48" s="78"/>
      <c r="U48" s="78"/>
      <c r="V48" s="78"/>
      <c r="W48" s="78"/>
      <c r="X48" s="78"/>
      <c r="Y48" s="78"/>
    </row>
    <row r="49" spans="1:25" s="108" customFormat="1" ht="12" customHeight="1">
      <c r="A49" s="56" t="s">
        <v>71</v>
      </c>
      <c r="B49" s="109" t="str">
        <f>INDEX($B$7:$C$32,MATCH(C49,$C$7:$C$32,0),1)</f>
        <v>Other Production Costs</v>
      </c>
      <c r="C49" s="76" t="s">
        <v>67</v>
      </c>
      <c r="D49" s="56" t="s">
        <v>62</v>
      </c>
      <c r="E49" s="77">
        <v>-3087.39</v>
      </c>
      <c r="F49" s="77">
        <v>8624.93</v>
      </c>
      <c r="G49" s="77">
        <v>7004.54</v>
      </c>
      <c r="H49" s="77">
        <v>-316.62999999999897</v>
      </c>
      <c r="I49" s="77">
        <v>9314.75</v>
      </c>
      <c r="J49" s="77">
        <v>8194.59</v>
      </c>
      <c r="K49" s="77">
        <v>12940.64</v>
      </c>
      <c r="L49" s="77">
        <v>8327.32</v>
      </c>
      <c r="M49" s="77">
        <v>8943.59</v>
      </c>
      <c r="N49" s="77">
        <v>10661.68</v>
      </c>
      <c r="O49" s="77">
        <v>8678.7800000000007</v>
      </c>
      <c r="P49" s="77">
        <v>12419.05</v>
      </c>
      <c r="Q49" s="78"/>
      <c r="R49" s="78"/>
      <c r="S49" s="78"/>
      <c r="T49" s="78"/>
      <c r="U49" s="78"/>
      <c r="V49" s="78"/>
      <c r="W49" s="78"/>
      <c r="X49" s="78"/>
      <c r="Y49" s="78"/>
    </row>
    <row r="50" spans="1:25" s="108" customFormat="1" ht="12" customHeight="1">
      <c r="A50" s="56" t="s">
        <v>71</v>
      </c>
      <c r="B50" s="109" t="str">
        <f>INDEX($B$7:$C$32,MATCH(C50,$C$7:$C$32,0),1)</f>
        <v>Other Production Costs</v>
      </c>
      <c r="C50" s="76" t="s">
        <v>67</v>
      </c>
      <c r="D50" s="56" t="s">
        <v>63</v>
      </c>
      <c r="E50" s="77">
        <v>0</v>
      </c>
      <c r="F50" s="77">
        <v>0</v>
      </c>
      <c r="G50" s="77">
        <v>0</v>
      </c>
      <c r="H50" s="77">
        <v>0</v>
      </c>
      <c r="I50" s="77">
        <v>0</v>
      </c>
      <c r="J50" s="77">
        <v>0</v>
      </c>
      <c r="K50" s="77">
        <v>0</v>
      </c>
      <c r="L50" s="77">
        <v>0</v>
      </c>
      <c r="M50" s="77">
        <v>0</v>
      </c>
      <c r="N50" s="77">
        <v>0</v>
      </c>
      <c r="O50" s="77">
        <v>0</v>
      </c>
      <c r="P50" s="77">
        <v>0</v>
      </c>
      <c r="Q50" s="78"/>
      <c r="R50" s="78"/>
      <c r="S50" s="78"/>
      <c r="T50" s="78"/>
      <c r="U50" s="78"/>
      <c r="V50" s="78"/>
      <c r="W50" s="78"/>
      <c r="X50" s="78"/>
      <c r="Y50" s="78"/>
    </row>
    <row r="51" spans="1:25" s="108" customFormat="1" ht="12" customHeight="1" thickBot="1">
      <c r="A51" s="56" t="s">
        <v>71</v>
      </c>
      <c r="B51" s="109" t="s">
        <v>59</v>
      </c>
      <c r="C51" s="76"/>
      <c r="D51" s="74" t="s">
        <v>59</v>
      </c>
      <c r="E51" s="252">
        <f>SUM(E47:E50)</f>
        <v>855.07000000000016</v>
      </c>
      <c r="F51" s="252">
        <f t="shared" ref="F51:P51" si="13">SUM(F47:F50)</f>
        <v>8643.11</v>
      </c>
      <c r="G51" s="252">
        <f t="shared" si="13"/>
        <v>7004.54</v>
      </c>
      <c r="H51" s="252">
        <f t="shared" si="13"/>
        <v>-4277.2699999999986</v>
      </c>
      <c r="I51" s="252">
        <f t="shared" si="13"/>
        <v>9314.75</v>
      </c>
      <c r="J51" s="252">
        <f t="shared" si="13"/>
        <v>8194.59</v>
      </c>
      <c r="K51" s="252">
        <f t="shared" si="13"/>
        <v>12985.24</v>
      </c>
      <c r="L51" s="252">
        <f t="shared" si="13"/>
        <v>8327.32</v>
      </c>
      <c r="M51" s="252">
        <f t="shared" si="13"/>
        <v>12745.36</v>
      </c>
      <c r="N51" s="252">
        <f t="shared" si="13"/>
        <v>7073.15</v>
      </c>
      <c r="O51" s="252">
        <f t="shared" si="13"/>
        <v>8678.7800000000007</v>
      </c>
      <c r="P51" s="252">
        <f t="shared" si="13"/>
        <v>12419.05</v>
      </c>
      <c r="Q51" s="78"/>
      <c r="R51" s="78"/>
      <c r="S51" s="78"/>
      <c r="T51" s="78"/>
      <c r="U51" s="78"/>
      <c r="V51" s="78"/>
      <c r="W51" s="78"/>
      <c r="X51" s="78"/>
      <c r="Y51" s="78"/>
    </row>
    <row r="52" spans="1:25" s="87" customFormat="1" ht="12" customHeight="1" thickTop="1" thickBot="1">
      <c r="A52" s="83" t="s">
        <v>73</v>
      </c>
      <c r="B52" s="83"/>
      <c r="C52" s="84"/>
      <c r="D52" s="83"/>
      <c r="E52" s="85"/>
      <c r="F52" s="85"/>
      <c r="G52" s="85"/>
      <c r="H52" s="85"/>
      <c r="I52" s="85"/>
      <c r="J52" s="85"/>
      <c r="K52" s="85"/>
      <c r="L52" s="85"/>
      <c r="M52" s="85"/>
      <c r="N52" s="85"/>
      <c r="O52" s="85"/>
      <c r="P52" s="85"/>
      <c r="Q52" s="86"/>
      <c r="R52" s="86"/>
      <c r="S52" s="86"/>
      <c r="T52" s="86"/>
      <c r="U52" s="86"/>
      <c r="V52" s="86"/>
      <c r="W52" s="86"/>
      <c r="X52" s="86"/>
      <c r="Y52" s="86"/>
    </row>
    <row r="53" spans="1:25" s="90" customFormat="1" ht="97.5" customHeight="1" thickTop="1">
      <c r="A53" s="267" t="s">
        <v>74</v>
      </c>
      <c r="B53" s="268"/>
      <c r="C53" s="268"/>
      <c r="D53" s="268"/>
      <c r="E53" s="268"/>
      <c r="F53" s="268"/>
      <c r="G53" s="268"/>
      <c r="H53" s="268"/>
      <c r="I53" s="287"/>
      <c r="J53" s="287"/>
      <c r="K53" s="287"/>
      <c r="L53" s="287"/>
      <c r="M53" s="287"/>
      <c r="N53" s="287"/>
      <c r="O53" s="287"/>
      <c r="P53" s="287"/>
      <c r="Q53" s="106"/>
      <c r="R53" s="106"/>
      <c r="S53" s="106"/>
      <c r="T53" s="106"/>
      <c r="U53" s="106"/>
      <c r="V53" s="106"/>
      <c r="W53" s="106"/>
      <c r="X53" s="106"/>
      <c r="Y53" s="106"/>
    </row>
    <row r="54" spans="1:25" s="135" customFormat="1" ht="12" customHeight="1">
      <c r="A54" s="132" t="s">
        <v>75</v>
      </c>
      <c r="B54" s="288"/>
      <c r="C54" s="133" t="s">
        <v>41</v>
      </c>
      <c r="D54" s="132" t="s">
        <v>42</v>
      </c>
      <c r="E54" s="134" t="str">
        <f t="shared" ref="E54:P54" si="14">E6</f>
        <v>2013/Jul</v>
      </c>
      <c r="F54" s="134" t="str">
        <f t="shared" si="14"/>
        <v>2013/Aug</v>
      </c>
      <c r="G54" s="134" t="str">
        <f t="shared" si="14"/>
        <v>2013/Sep</v>
      </c>
      <c r="H54" s="134" t="str">
        <f t="shared" si="14"/>
        <v>2013/Oct</v>
      </c>
      <c r="I54" s="134" t="str">
        <f t="shared" si="14"/>
        <v>2013/Nov</v>
      </c>
      <c r="J54" s="134" t="str">
        <f t="shared" si="14"/>
        <v>2013/Dec</v>
      </c>
      <c r="K54" s="134" t="str">
        <f t="shared" si="14"/>
        <v>2014/Jan</v>
      </c>
      <c r="L54" s="134" t="str">
        <f t="shared" si="14"/>
        <v>2014/Feb</v>
      </c>
      <c r="M54" s="134" t="str">
        <f t="shared" si="14"/>
        <v>2014/Mar</v>
      </c>
      <c r="N54" s="134" t="str">
        <f t="shared" si="14"/>
        <v>2014/Apr</v>
      </c>
      <c r="O54" s="134" t="str">
        <f t="shared" si="14"/>
        <v>2014/May</v>
      </c>
      <c r="P54" s="134" t="str">
        <f t="shared" si="14"/>
        <v>2014/Jun</v>
      </c>
      <c r="Q54" s="91"/>
      <c r="R54" s="91"/>
      <c r="S54" s="91"/>
      <c r="T54" s="91"/>
      <c r="U54" s="91"/>
      <c r="V54" s="91"/>
      <c r="W54" s="91"/>
      <c r="X54" s="91"/>
      <c r="Y54" s="91"/>
    </row>
    <row r="55" spans="1:25" ht="12" customHeight="1">
      <c r="A55" s="113" t="s">
        <v>76</v>
      </c>
      <c r="B55" s="23" t="str">
        <f t="shared" ref="B55:B69" si="15">INDEX($B$7:$C$32,MATCH(C55,$C$7:$C$32,0),1)</f>
        <v>Revenue</v>
      </c>
      <c r="C55" s="76" t="s">
        <v>57</v>
      </c>
      <c r="D55" s="56" t="s">
        <v>58</v>
      </c>
      <c r="E55" s="23">
        <f t="shared" ref="E55:P55" si="16">SUMIFS(E$7:E$51,$B$7:$B$51,$B55,$C$7:$C$51,$C55,$D$7:$D$51,$D55)</f>
        <v>-527388.08000000007</v>
      </c>
      <c r="F55" s="23">
        <f t="shared" si="16"/>
        <v>-629702.49</v>
      </c>
      <c r="G55" s="23">
        <f t="shared" si="16"/>
        <v>-1171967.77</v>
      </c>
      <c r="H55" s="23">
        <f t="shared" si="16"/>
        <v>-604857.90999999992</v>
      </c>
      <c r="I55" s="23">
        <f t="shared" si="16"/>
        <v>-708445.12</v>
      </c>
      <c r="J55" s="23">
        <f t="shared" si="16"/>
        <v>-897689.76</v>
      </c>
      <c r="K55" s="23">
        <f t="shared" si="16"/>
        <v>-368238.31999999995</v>
      </c>
      <c r="L55" s="23">
        <f t="shared" si="16"/>
        <v>-14031.48</v>
      </c>
      <c r="M55" s="23">
        <f t="shared" si="16"/>
        <v>-1434897.97</v>
      </c>
      <c r="N55" s="23">
        <f t="shared" si="16"/>
        <v>-685688.78999999992</v>
      </c>
      <c r="O55" s="23">
        <f t="shared" si="16"/>
        <v>-816344.46</v>
      </c>
      <c r="P55" s="23">
        <f t="shared" si="16"/>
        <v>-370816</v>
      </c>
      <c r="Q55" s="1"/>
      <c r="R55" s="1"/>
      <c r="S55" s="1"/>
      <c r="T55" s="1"/>
      <c r="U55" s="1"/>
      <c r="V55" s="1"/>
      <c r="W55" s="1"/>
      <c r="X55" s="1"/>
      <c r="Y55" s="1"/>
    </row>
    <row r="56" spans="1:25" ht="12" customHeight="1">
      <c r="A56" s="113" t="s">
        <v>76</v>
      </c>
      <c r="B56" s="23" t="str">
        <f t="shared" si="15"/>
        <v>Revenue</v>
      </c>
      <c r="C56" s="76" t="s">
        <v>64</v>
      </c>
      <c r="D56" s="56" t="s">
        <v>58</v>
      </c>
      <c r="E56" s="23">
        <f t="shared" ref="E56:P69" si="17">SUMIFS(E$7:E$51,$B$7:$B$51,$B56,$C$7:$C$51,$C56,$D$7:$D$51,$D56)</f>
        <v>-41803728.579999998</v>
      </c>
      <c r="F56" s="23">
        <f t="shared" si="17"/>
        <v>-39948661.560000002</v>
      </c>
      <c r="G56" s="23">
        <f t="shared" si="17"/>
        <v>-39013309.019999996</v>
      </c>
      <c r="H56" s="23">
        <f t="shared" si="17"/>
        <v>-36287088.75</v>
      </c>
      <c r="I56" s="23">
        <f t="shared" si="17"/>
        <v>-36422222.189999998</v>
      </c>
      <c r="J56" s="23">
        <f t="shared" si="17"/>
        <v>-36205249.109999999</v>
      </c>
      <c r="K56" s="23">
        <f t="shared" si="17"/>
        <v>-53187092.230000004</v>
      </c>
      <c r="L56" s="23">
        <f t="shared" si="17"/>
        <v>-49922282.349999994</v>
      </c>
      <c r="M56" s="23">
        <f t="shared" si="17"/>
        <v>-47941399.560000002</v>
      </c>
      <c r="N56" s="23">
        <f t="shared" si="17"/>
        <v>-42346768.010000005</v>
      </c>
      <c r="O56" s="23">
        <f t="shared" si="17"/>
        <v>-40362818.890000001</v>
      </c>
      <c r="P56" s="23">
        <f t="shared" si="17"/>
        <v>-42918944.870000005</v>
      </c>
      <c r="Q56" s="1"/>
      <c r="R56" s="1"/>
      <c r="S56" s="1"/>
      <c r="T56" s="1"/>
      <c r="U56" s="1"/>
      <c r="V56" s="1"/>
      <c r="W56" s="1"/>
      <c r="X56" s="1"/>
      <c r="Y56" s="1"/>
    </row>
    <row r="57" spans="1:25" ht="12" customHeight="1">
      <c r="A57" s="113" t="s">
        <v>76</v>
      </c>
      <c r="B57" s="23" t="str">
        <f t="shared" si="15"/>
        <v>Revenue</v>
      </c>
      <c r="C57" s="76" t="s">
        <v>60</v>
      </c>
      <c r="D57" s="56" t="s">
        <v>58</v>
      </c>
      <c r="E57" s="23">
        <f t="shared" si="17"/>
        <v>-43875</v>
      </c>
      <c r="F57" s="23">
        <f t="shared" si="17"/>
        <v>-42965</v>
      </c>
      <c r="G57" s="23">
        <f t="shared" si="17"/>
        <v>-125182.5</v>
      </c>
      <c r="H57" s="23">
        <f t="shared" si="17"/>
        <v>-52587.5</v>
      </c>
      <c r="I57" s="23">
        <f t="shared" si="17"/>
        <v>-62990</v>
      </c>
      <c r="J57" s="23">
        <f t="shared" si="17"/>
        <v>-33740</v>
      </c>
      <c r="K57" s="23">
        <f t="shared" si="17"/>
        <v>-351677.5</v>
      </c>
      <c r="L57" s="23">
        <f t="shared" si="17"/>
        <v>390387.5</v>
      </c>
      <c r="M57" s="23">
        <f t="shared" si="17"/>
        <v>54180</v>
      </c>
      <c r="N57" s="23">
        <f t="shared" si="17"/>
        <v>-61186.66</v>
      </c>
      <c r="O57" s="23">
        <f t="shared" si="17"/>
        <v>-35663.339999999997</v>
      </c>
      <c r="P57" s="23">
        <f t="shared" si="17"/>
        <v>44752.5</v>
      </c>
      <c r="Q57" s="1"/>
      <c r="R57" s="1"/>
      <c r="S57" s="1"/>
      <c r="T57" s="1"/>
      <c r="U57" s="1"/>
      <c r="V57" s="1"/>
      <c r="W57" s="1"/>
      <c r="X57" s="1"/>
      <c r="Y57" s="1"/>
    </row>
    <row r="58" spans="1:25" ht="12" customHeight="1">
      <c r="A58" s="113" t="s">
        <v>76</v>
      </c>
      <c r="B58" s="23" t="str">
        <f t="shared" si="15"/>
        <v>Revenue</v>
      </c>
      <c r="C58" s="76" t="s">
        <v>60</v>
      </c>
      <c r="D58" s="56" t="s">
        <v>61</v>
      </c>
      <c r="E58" s="23">
        <f t="shared" si="17"/>
        <v>-14400</v>
      </c>
      <c r="F58" s="23">
        <f t="shared" si="17"/>
        <v>-2640.08</v>
      </c>
      <c r="G58" s="23">
        <f t="shared" si="17"/>
        <v>-24935</v>
      </c>
      <c r="H58" s="23">
        <f t="shared" si="17"/>
        <v>-9700</v>
      </c>
      <c r="I58" s="23">
        <f t="shared" si="17"/>
        <v>0</v>
      </c>
      <c r="J58" s="23">
        <f t="shared" si="17"/>
        <v>0</v>
      </c>
      <c r="K58" s="23">
        <f t="shared" si="17"/>
        <v>0</v>
      </c>
      <c r="L58" s="23">
        <f t="shared" si="17"/>
        <v>-6900</v>
      </c>
      <c r="M58" s="23">
        <f t="shared" si="17"/>
        <v>-11867.12</v>
      </c>
      <c r="N58" s="23">
        <f t="shared" si="17"/>
        <v>-6600</v>
      </c>
      <c r="O58" s="23">
        <f t="shared" si="17"/>
        <v>-21222.41</v>
      </c>
      <c r="P58" s="23">
        <f t="shared" si="17"/>
        <v>-47356</v>
      </c>
      <c r="Q58" s="1"/>
      <c r="R58" s="1"/>
      <c r="S58" s="1"/>
      <c r="T58" s="1"/>
      <c r="U58" s="1"/>
      <c r="V58" s="1"/>
      <c r="W58" s="1"/>
      <c r="X58" s="1"/>
      <c r="Y58" s="1"/>
    </row>
    <row r="59" spans="1:25" ht="12" customHeight="1">
      <c r="A59" s="113" t="s">
        <v>76</v>
      </c>
      <c r="B59" s="23" t="str">
        <f t="shared" si="15"/>
        <v>Revenue</v>
      </c>
      <c r="C59" s="76" t="s">
        <v>60</v>
      </c>
      <c r="D59" s="56" t="s">
        <v>62</v>
      </c>
      <c r="E59" s="23">
        <f t="shared" si="17"/>
        <v>-113937.04</v>
      </c>
      <c r="F59" s="23">
        <f t="shared" si="17"/>
        <v>-58564.66</v>
      </c>
      <c r="G59" s="23">
        <f t="shared" si="17"/>
        <v>12814.810000000001</v>
      </c>
      <c r="H59" s="23">
        <f t="shared" si="17"/>
        <v>-19649.78</v>
      </c>
      <c r="I59" s="23">
        <f t="shared" si="17"/>
        <v>-42459.659999999996</v>
      </c>
      <c r="J59" s="23">
        <f t="shared" si="17"/>
        <v>-14714.68</v>
      </c>
      <c r="K59" s="23">
        <f t="shared" si="17"/>
        <v>-48873.869999999995</v>
      </c>
      <c r="L59" s="23">
        <f t="shared" si="17"/>
        <v>-82455.329999999987</v>
      </c>
      <c r="M59" s="23">
        <f t="shared" si="17"/>
        <v>-51267.63</v>
      </c>
      <c r="N59" s="23">
        <f t="shared" si="17"/>
        <v>-58134.58</v>
      </c>
      <c r="O59" s="23">
        <f t="shared" si="17"/>
        <v>-60338.400000000001</v>
      </c>
      <c r="P59" s="23">
        <f t="shared" si="17"/>
        <v>-59317.2</v>
      </c>
      <c r="Q59" s="1"/>
      <c r="R59" s="1"/>
      <c r="S59" s="1"/>
      <c r="T59" s="1"/>
      <c r="U59" s="1"/>
      <c r="V59" s="1"/>
      <c r="W59" s="1"/>
      <c r="X59" s="1"/>
      <c r="Y59" s="1"/>
    </row>
    <row r="60" spans="1:25" ht="12" customHeight="1">
      <c r="A60" s="113" t="s">
        <v>76</v>
      </c>
      <c r="B60" s="23" t="str">
        <f t="shared" si="15"/>
        <v>Revenue</v>
      </c>
      <c r="C60" s="76" t="s">
        <v>60</v>
      </c>
      <c r="D60" s="56" t="s">
        <v>63</v>
      </c>
      <c r="E60" s="23">
        <f t="shared" si="17"/>
        <v>-674257.77</v>
      </c>
      <c r="F60" s="23">
        <f t="shared" si="17"/>
        <v>-670079.13</v>
      </c>
      <c r="G60" s="23">
        <f t="shared" si="17"/>
        <v>-738722.20000000007</v>
      </c>
      <c r="H60" s="23">
        <f t="shared" si="17"/>
        <v>-730516.9800000001</v>
      </c>
      <c r="I60" s="23">
        <f t="shared" si="17"/>
        <v>-751101.12</v>
      </c>
      <c r="J60" s="23">
        <f t="shared" si="17"/>
        <v>-733147.69000000006</v>
      </c>
      <c r="K60" s="23">
        <f t="shared" si="17"/>
        <v>-737397.16</v>
      </c>
      <c r="L60" s="23">
        <f t="shared" si="17"/>
        <v>-1203002.27</v>
      </c>
      <c r="M60" s="23">
        <f t="shared" si="17"/>
        <v>-743237.66999999993</v>
      </c>
      <c r="N60" s="23">
        <f t="shared" si="17"/>
        <v>-593351.38</v>
      </c>
      <c r="O60" s="23">
        <f t="shared" si="17"/>
        <v>-884861.20000000007</v>
      </c>
      <c r="P60" s="23">
        <f t="shared" si="17"/>
        <v>-555048.40000000014</v>
      </c>
      <c r="Q60" s="1"/>
      <c r="R60" s="1"/>
      <c r="S60" s="1"/>
      <c r="T60" s="1"/>
      <c r="U60" s="1"/>
      <c r="V60" s="1"/>
      <c r="W60" s="1"/>
      <c r="X60" s="1"/>
      <c r="Y60" s="1"/>
    </row>
    <row r="61" spans="1:25" ht="12" customHeight="1">
      <c r="A61" s="113" t="s">
        <v>76</v>
      </c>
      <c r="B61" s="23" t="str">
        <f t="shared" si="15"/>
        <v>Production Costs</v>
      </c>
      <c r="C61" s="76" t="s">
        <v>66</v>
      </c>
      <c r="D61" s="56" t="s">
        <v>62</v>
      </c>
      <c r="E61" s="23">
        <f t="shared" si="17"/>
        <v>848167.17999999993</v>
      </c>
      <c r="F61" s="23">
        <f t="shared" si="17"/>
        <v>966368.24</v>
      </c>
      <c r="G61" s="23">
        <f t="shared" si="17"/>
        <v>90175.27</v>
      </c>
      <c r="H61" s="23">
        <f t="shared" si="17"/>
        <v>95769.07</v>
      </c>
      <c r="I61" s="23">
        <f t="shared" si="17"/>
        <v>154685.54999999999</v>
      </c>
      <c r="J61" s="23">
        <f t="shared" si="17"/>
        <v>691590.19</v>
      </c>
      <c r="K61" s="23">
        <f t="shared" si="17"/>
        <v>534140.51</v>
      </c>
      <c r="L61" s="23">
        <f t="shared" si="17"/>
        <v>1006975.31</v>
      </c>
      <c r="M61" s="23">
        <f t="shared" si="17"/>
        <v>488817.61</v>
      </c>
      <c r="N61" s="23">
        <f t="shared" si="17"/>
        <v>346881.89</v>
      </c>
      <c r="O61" s="23">
        <f t="shared" si="17"/>
        <v>487279.05</v>
      </c>
      <c r="P61" s="23">
        <f t="shared" si="17"/>
        <v>131234.43</v>
      </c>
      <c r="Q61" s="1"/>
      <c r="R61" s="1"/>
      <c r="S61" s="1"/>
      <c r="T61" s="1"/>
      <c r="U61" s="1"/>
      <c r="V61" s="1"/>
      <c r="W61" s="1"/>
      <c r="X61" s="1"/>
      <c r="Y61" s="1"/>
    </row>
    <row r="62" spans="1:25" ht="12" customHeight="1">
      <c r="A62" s="113" t="s">
        <v>76</v>
      </c>
      <c r="B62" s="23" t="str">
        <f t="shared" si="15"/>
        <v>Production Costs</v>
      </c>
      <c r="C62" s="76" t="s">
        <v>66</v>
      </c>
      <c r="D62" s="56" t="s">
        <v>58</v>
      </c>
      <c r="E62" s="23">
        <f t="shared" si="17"/>
        <v>0</v>
      </c>
      <c r="F62" s="23">
        <f t="shared" si="17"/>
        <v>0</v>
      </c>
      <c r="G62" s="23">
        <f t="shared" si="17"/>
        <v>0</v>
      </c>
      <c r="H62" s="23">
        <f t="shared" si="17"/>
        <v>0</v>
      </c>
      <c r="I62" s="23">
        <f t="shared" si="17"/>
        <v>0</v>
      </c>
      <c r="J62" s="23">
        <f t="shared" si="17"/>
        <v>0</v>
      </c>
      <c r="K62" s="23">
        <f t="shared" si="17"/>
        <v>0</v>
      </c>
      <c r="L62" s="23">
        <f t="shared" si="17"/>
        <v>0</v>
      </c>
      <c r="M62" s="23">
        <f t="shared" si="17"/>
        <v>0</v>
      </c>
      <c r="N62" s="23">
        <f t="shared" si="17"/>
        <v>0</v>
      </c>
      <c r="O62" s="23">
        <f t="shared" si="17"/>
        <v>0</v>
      </c>
      <c r="P62" s="23">
        <f t="shared" si="17"/>
        <v>0</v>
      </c>
      <c r="Q62" s="1"/>
      <c r="R62" s="1"/>
      <c r="S62" s="1"/>
      <c r="T62" s="1"/>
      <c r="U62" s="1"/>
      <c r="V62" s="1"/>
      <c r="W62" s="1"/>
      <c r="X62" s="1"/>
      <c r="Y62" s="1"/>
    </row>
    <row r="63" spans="1:25" ht="12" customHeight="1">
      <c r="A63" s="113" t="s">
        <v>76</v>
      </c>
      <c r="B63" s="23" t="str">
        <f t="shared" si="15"/>
        <v>Production Costs</v>
      </c>
      <c r="C63" s="76" t="s">
        <v>66</v>
      </c>
      <c r="D63" s="56" t="s">
        <v>61</v>
      </c>
      <c r="E63" s="23">
        <f t="shared" si="17"/>
        <v>0</v>
      </c>
      <c r="F63" s="23">
        <f t="shared" si="17"/>
        <v>0</v>
      </c>
      <c r="G63" s="23">
        <f t="shared" si="17"/>
        <v>1946.64</v>
      </c>
      <c r="H63" s="23">
        <f t="shared" si="17"/>
        <v>2100.48</v>
      </c>
      <c r="I63" s="23">
        <f t="shared" si="17"/>
        <v>1864.88</v>
      </c>
      <c r="J63" s="23">
        <f t="shared" si="17"/>
        <v>1984.48</v>
      </c>
      <c r="K63" s="23">
        <f t="shared" si="17"/>
        <v>2667.2</v>
      </c>
      <c r="L63" s="23">
        <f t="shared" si="17"/>
        <v>0</v>
      </c>
      <c r="M63" s="23">
        <f t="shared" si="17"/>
        <v>998.4</v>
      </c>
      <c r="N63" s="23">
        <f t="shared" si="17"/>
        <v>0</v>
      </c>
      <c r="O63" s="23">
        <f t="shared" si="17"/>
        <v>2326.08</v>
      </c>
      <c r="P63" s="23">
        <f t="shared" si="17"/>
        <v>0</v>
      </c>
      <c r="Q63" s="1"/>
      <c r="R63" s="1"/>
      <c r="S63" s="1"/>
      <c r="T63" s="1"/>
      <c r="U63" s="1"/>
      <c r="V63" s="1"/>
      <c r="W63" s="1"/>
      <c r="X63" s="1"/>
      <c r="Y63" s="1"/>
    </row>
    <row r="64" spans="1:25" s="55" customFormat="1" ht="12" customHeight="1">
      <c r="A64" s="113" t="s">
        <v>76</v>
      </c>
      <c r="B64" s="23" t="str">
        <f t="shared" si="15"/>
        <v>Other Production Costs</v>
      </c>
      <c r="C64" s="76" t="s">
        <v>67</v>
      </c>
      <c r="D64" s="56" t="s">
        <v>68</v>
      </c>
      <c r="E64" s="23">
        <f t="shared" si="17"/>
        <v>0</v>
      </c>
      <c r="F64" s="23">
        <f t="shared" si="17"/>
        <v>0</v>
      </c>
      <c r="G64" s="23">
        <f t="shared" si="17"/>
        <v>0</v>
      </c>
      <c r="H64" s="23">
        <f t="shared" si="17"/>
        <v>0</v>
      </c>
      <c r="I64" s="23">
        <f t="shared" si="17"/>
        <v>0</v>
      </c>
      <c r="J64" s="23">
        <f t="shared" si="17"/>
        <v>0</v>
      </c>
      <c r="K64" s="23">
        <f t="shared" si="17"/>
        <v>0</v>
      </c>
      <c r="L64" s="23">
        <f t="shared" si="17"/>
        <v>0</v>
      </c>
      <c r="M64" s="23">
        <f t="shared" si="17"/>
        <v>0</v>
      </c>
      <c r="N64" s="23">
        <f t="shared" si="17"/>
        <v>0</v>
      </c>
      <c r="O64" s="23">
        <f t="shared" si="17"/>
        <v>0</v>
      </c>
      <c r="P64" s="23">
        <f t="shared" si="17"/>
        <v>0</v>
      </c>
      <c r="Q64" s="1"/>
      <c r="R64" s="1"/>
      <c r="S64" s="1"/>
      <c r="T64" s="1"/>
      <c r="U64" s="1"/>
      <c r="V64" s="1"/>
      <c r="W64" s="1"/>
      <c r="X64" s="1"/>
      <c r="Y64" s="1"/>
    </row>
    <row r="65" spans="1:25" s="55" customFormat="1" ht="12" customHeight="1">
      <c r="A65" s="113" t="s">
        <v>76</v>
      </c>
      <c r="B65" s="23" t="s">
        <v>28</v>
      </c>
      <c r="C65" s="76" t="s">
        <v>67</v>
      </c>
      <c r="D65" s="56" t="s">
        <v>61</v>
      </c>
      <c r="E65" s="23">
        <f t="shared" si="17"/>
        <v>23565.69</v>
      </c>
      <c r="F65" s="23">
        <f t="shared" si="17"/>
        <v>32501.52</v>
      </c>
      <c r="G65" s="23">
        <f t="shared" si="17"/>
        <v>21704.22</v>
      </c>
      <c r="H65" s="23">
        <f t="shared" si="17"/>
        <v>20123.72</v>
      </c>
      <c r="I65" s="23">
        <f t="shared" si="17"/>
        <v>30835.439999999999</v>
      </c>
      <c r="J65" s="23">
        <f t="shared" si="17"/>
        <v>33205.11</v>
      </c>
      <c r="K65" s="23">
        <f t="shared" si="17"/>
        <v>24933.379999999997</v>
      </c>
      <c r="L65" s="23">
        <f t="shared" si="17"/>
        <v>28654</v>
      </c>
      <c r="M65" s="23">
        <f t="shared" si="17"/>
        <v>26244.39</v>
      </c>
      <c r="N65" s="23">
        <f t="shared" si="17"/>
        <v>27540.84</v>
      </c>
      <c r="O65" s="23">
        <f t="shared" si="17"/>
        <v>27132</v>
      </c>
      <c r="P65" s="23">
        <f t="shared" si="17"/>
        <v>30197.21</v>
      </c>
      <c r="Q65" s="1"/>
      <c r="R65" s="1"/>
      <c r="S65" s="1"/>
      <c r="T65" s="1"/>
      <c r="U65" s="1"/>
      <c r="V65" s="1"/>
      <c r="W65" s="1"/>
      <c r="X65" s="1"/>
      <c r="Y65" s="1"/>
    </row>
    <row r="66" spans="1:25" s="55" customFormat="1" ht="12" customHeight="1">
      <c r="A66" s="113" t="s">
        <v>76</v>
      </c>
      <c r="B66" s="23" t="str">
        <f t="shared" si="15"/>
        <v>Other Production Costs</v>
      </c>
      <c r="C66" s="76" t="s">
        <v>67</v>
      </c>
      <c r="D66" s="56" t="s">
        <v>62</v>
      </c>
      <c r="E66" s="23">
        <f t="shared" si="17"/>
        <v>238232</v>
      </c>
      <c r="F66" s="23">
        <f t="shared" si="17"/>
        <v>235617.47</v>
      </c>
      <c r="G66" s="23">
        <f t="shared" si="17"/>
        <v>368536.11</v>
      </c>
      <c r="H66" s="23">
        <f t="shared" si="17"/>
        <v>213303</v>
      </c>
      <c r="I66" s="23">
        <f t="shared" si="17"/>
        <v>244093.16</v>
      </c>
      <c r="J66" s="23">
        <f t="shared" si="17"/>
        <v>299399.47000000003</v>
      </c>
      <c r="K66" s="23">
        <f t="shared" si="17"/>
        <v>353604.15</v>
      </c>
      <c r="L66" s="23">
        <f t="shared" si="17"/>
        <v>341989.23</v>
      </c>
      <c r="M66" s="23">
        <f t="shared" si="17"/>
        <v>297019.30000000005</v>
      </c>
      <c r="N66" s="23">
        <f t="shared" si="17"/>
        <v>280580.11</v>
      </c>
      <c r="O66" s="23">
        <f t="shared" si="17"/>
        <v>288169.54000000004</v>
      </c>
      <c r="P66" s="23">
        <f t="shared" si="17"/>
        <v>435588.36</v>
      </c>
      <c r="Q66" s="1"/>
      <c r="R66" s="1"/>
      <c r="S66" s="1"/>
      <c r="T66" s="1"/>
      <c r="U66" s="1"/>
      <c r="V66" s="1"/>
      <c r="W66" s="1"/>
      <c r="X66" s="1"/>
      <c r="Y66" s="1"/>
    </row>
    <row r="67" spans="1:25" s="55" customFormat="1" ht="12" customHeight="1">
      <c r="A67" s="113" t="s">
        <v>76</v>
      </c>
      <c r="B67" s="23" t="str">
        <f t="shared" si="15"/>
        <v>Other Production Costs</v>
      </c>
      <c r="C67" s="76" t="s">
        <v>67</v>
      </c>
      <c r="D67" s="56" t="s">
        <v>70</v>
      </c>
      <c r="E67" s="23">
        <f t="shared" si="17"/>
        <v>0</v>
      </c>
      <c r="F67" s="23">
        <f t="shared" si="17"/>
        <v>0</v>
      </c>
      <c r="G67" s="23">
        <f t="shared" si="17"/>
        <v>0</v>
      </c>
      <c r="H67" s="23">
        <f t="shared" si="17"/>
        <v>0</v>
      </c>
      <c r="I67" s="23">
        <f t="shared" si="17"/>
        <v>0</v>
      </c>
      <c r="J67" s="23">
        <f t="shared" si="17"/>
        <v>-629.44000000000005</v>
      </c>
      <c r="K67" s="23">
        <f t="shared" si="17"/>
        <v>0</v>
      </c>
      <c r="L67" s="23">
        <f t="shared" si="17"/>
        <v>629.44000000000005</v>
      </c>
      <c r="M67" s="23">
        <f t="shared" si="17"/>
        <v>0</v>
      </c>
      <c r="N67" s="23">
        <f t="shared" si="17"/>
        <v>0</v>
      </c>
      <c r="O67" s="23">
        <f t="shared" si="17"/>
        <v>0</v>
      </c>
      <c r="P67" s="23">
        <f t="shared" si="17"/>
        <v>0</v>
      </c>
      <c r="Q67" s="1"/>
      <c r="R67" s="1"/>
      <c r="S67" s="1"/>
      <c r="T67" s="1"/>
      <c r="U67" s="1"/>
      <c r="V67" s="1"/>
      <c r="W67" s="1"/>
      <c r="X67" s="1"/>
      <c r="Y67" s="1"/>
    </row>
    <row r="68" spans="1:25" s="55" customFormat="1" ht="12" customHeight="1">
      <c r="A68" s="113" t="s">
        <v>76</v>
      </c>
      <c r="B68" s="23" t="str">
        <f t="shared" si="15"/>
        <v>Other Production Costs</v>
      </c>
      <c r="C68" s="76" t="s">
        <v>67</v>
      </c>
      <c r="D68" s="56" t="s">
        <v>63</v>
      </c>
      <c r="E68" s="23">
        <f t="shared" si="17"/>
        <v>191.67</v>
      </c>
      <c r="F68" s="23">
        <f t="shared" si="17"/>
        <v>0</v>
      </c>
      <c r="G68" s="23">
        <f t="shared" si="17"/>
        <v>95.38</v>
      </c>
      <c r="H68" s="23">
        <f t="shared" si="17"/>
        <v>-215.71</v>
      </c>
      <c r="I68" s="23">
        <f t="shared" si="17"/>
        <v>384.38</v>
      </c>
      <c r="J68" s="23">
        <f t="shared" si="17"/>
        <v>385.02</v>
      </c>
      <c r="K68" s="23">
        <f t="shared" si="17"/>
        <v>-161.94999999999999</v>
      </c>
      <c r="L68" s="23">
        <f t="shared" si="17"/>
        <v>-678.79</v>
      </c>
      <c r="M68" s="23">
        <f t="shared" si="17"/>
        <v>0</v>
      </c>
      <c r="N68" s="23">
        <f t="shared" si="17"/>
        <v>0</v>
      </c>
      <c r="O68" s="23">
        <f t="shared" si="17"/>
        <v>52.74</v>
      </c>
      <c r="P68" s="23">
        <f t="shared" si="17"/>
        <v>0</v>
      </c>
      <c r="Q68" s="1"/>
      <c r="R68" s="1"/>
      <c r="S68" s="1"/>
      <c r="T68" s="1"/>
      <c r="U68" s="1"/>
      <c r="V68" s="1"/>
      <c r="W68" s="1"/>
      <c r="X68" s="1"/>
      <c r="Y68" s="1"/>
    </row>
    <row r="69" spans="1:25" s="55" customFormat="1" ht="12" customHeight="1">
      <c r="A69" s="113" t="s">
        <v>76</v>
      </c>
      <c r="B69" s="23" t="str">
        <f t="shared" si="15"/>
        <v>Other Production Costs</v>
      </c>
      <c r="C69" s="76" t="s">
        <v>67</v>
      </c>
      <c r="D69" s="56" t="s">
        <v>72</v>
      </c>
      <c r="E69" s="23">
        <f t="shared" si="17"/>
        <v>0</v>
      </c>
      <c r="F69" s="23">
        <f t="shared" si="17"/>
        <v>0</v>
      </c>
      <c r="G69" s="23">
        <f t="shared" si="17"/>
        <v>0</v>
      </c>
      <c r="H69" s="23">
        <f t="shared" si="17"/>
        <v>0</v>
      </c>
      <c r="I69" s="23">
        <f t="shared" si="17"/>
        <v>0</v>
      </c>
      <c r="J69" s="23">
        <f t="shared" si="17"/>
        <v>0</v>
      </c>
      <c r="K69" s="23">
        <f t="shared" si="17"/>
        <v>0</v>
      </c>
      <c r="L69" s="23">
        <f t="shared" si="17"/>
        <v>0</v>
      </c>
      <c r="M69" s="23">
        <f t="shared" si="17"/>
        <v>0</v>
      </c>
      <c r="N69" s="23">
        <f t="shared" si="17"/>
        <v>0</v>
      </c>
      <c r="O69" s="23">
        <f t="shared" si="17"/>
        <v>0</v>
      </c>
      <c r="P69" s="23">
        <f t="shared" si="17"/>
        <v>0</v>
      </c>
      <c r="Q69" s="1"/>
      <c r="R69" s="1"/>
      <c r="S69" s="1"/>
      <c r="T69" s="1"/>
      <c r="U69" s="1"/>
      <c r="V69" s="1"/>
      <c r="W69" s="1"/>
      <c r="X69" s="1"/>
      <c r="Y69" s="1"/>
    </row>
    <row r="70" spans="1:25" s="55" customFormat="1" ht="12" customHeight="1">
      <c r="A70" s="114"/>
      <c r="B70" s="114"/>
      <c r="C70" s="76"/>
      <c r="D70" s="56"/>
      <c r="E70" s="114"/>
      <c r="F70" s="114"/>
      <c r="G70" s="114"/>
      <c r="H70" s="114"/>
      <c r="I70" s="114"/>
      <c r="J70" s="114"/>
      <c r="K70" s="114"/>
      <c r="L70" s="114"/>
      <c r="M70" s="114"/>
      <c r="N70" s="114"/>
      <c r="O70" s="114"/>
      <c r="P70" s="114"/>
      <c r="Q70" s="1"/>
      <c r="R70" s="1"/>
      <c r="S70" s="1"/>
      <c r="T70" s="1"/>
      <c r="U70" s="1"/>
      <c r="V70" s="1"/>
      <c r="W70" s="1"/>
      <c r="X70" s="1"/>
      <c r="Y70" s="1"/>
    </row>
    <row r="71" spans="1:25" s="55" customFormat="1" ht="12" customHeight="1">
      <c r="A71" s="114"/>
      <c r="B71" s="114"/>
      <c r="C71" s="76"/>
      <c r="D71" s="56"/>
      <c r="E71" s="114"/>
      <c r="F71" s="114"/>
      <c r="G71" s="114"/>
      <c r="H71" s="114"/>
      <c r="I71" s="114"/>
      <c r="J71" s="114"/>
      <c r="K71" s="114"/>
      <c r="L71" s="114"/>
      <c r="M71" s="114"/>
      <c r="N71" s="114"/>
      <c r="O71" s="114"/>
      <c r="P71" s="114"/>
      <c r="Q71" s="1"/>
      <c r="R71" s="1"/>
      <c r="S71" s="1"/>
      <c r="T71" s="1"/>
      <c r="U71" s="1"/>
      <c r="V71" s="1"/>
      <c r="W71" s="1"/>
      <c r="X71" s="1"/>
      <c r="Y71" s="1"/>
    </row>
    <row r="72" spans="1:25" s="55" customFormat="1" ht="12" customHeight="1">
      <c r="A72" s="114"/>
      <c r="B72" s="114"/>
      <c r="C72" s="76"/>
      <c r="D72" s="56"/>
      <c r="E72" s="114"/>
      <c r="F72" s="114"/>
      <c r="G72" s="114"/>
      <c r="H72" s="114"/>
      <c r="I72" s="114"/>
      <c r="J72" s="114"/>
      <c r="K72" s="114"/>
      <c r="L72" s="114"/>
      <c r="M72" s="114"/>
      <c r="N72" s="114"/>
      <c r="O72" s="114"/>
      <c r="P72" s="114"/>
      <c r="Q72" s="1"/>
      <c r="R72" s="1"/>
      <c r="S72" s="1"/>
      <c r="T72" s="1"/>
      <c r="U72" s="1"/>
      <c r="V72" s="1"/>
      <c r="W72" s="1"/>
      <c r="X72" s="1"/>
      <c r="Y72" s="1"/>
    </row>
    <row r="73" spans="1:25" ht="12" customHeight="1">
      <c r="A73" s="114"/>
      <c r="B73" s="114"/>
      <c r="C73" s="76"/>
      <c r="D73" s="56"/>
      <c r="E73" s="114"/>
      <c r="F73" s="114"/>
      <c r="G73" s="114"/>
      <c r="H73" s="114"/>
      <c r="I73" s="114"/>
      <c r="J73" s="114"/>
      <c r="K73" s="114"/>
      <c r="L73" s="114"/>
      <c r="M73" s="114"/>
      <c r="N73" s="114"/>
      <c r="O73" s="114"/>
      <c r="P73" s="114"/>
      <c r="Q73" s="1"/>
      <c r="R73" s="1"/>
      <c r="S73" s="1"/>
      <c r="T73" s="1"/>
      <c r="U73" s="1"/>
      <c r="V73" s="1"/>
      <c r="W73" s="1"/>
      <c r="X73" s="1"/>
      <c r="Y73" s="1"/>
    </row>
    <row r="74" spans="1:25" ht="12" customHeight="1">
      <c r="A74" s="114"/>
      <c r="B74" s="114"/>
      <c r="C74" s="76"/>
      <c r="D74" s="56"/>
      <c r="E74" s="114"/>
      <c r="F74" s="114"/>
      <c r="G74" s="114"/>
      <c r="H74" s="114"/>
      <c r="I74" s="114"/>
      <c r="J74" s="114"/>
      <c r="K74" s="114"/>
      <c r="L74" s="114"/>
      <c r="M74" s="114"/>
      <c r="N74" s="114"/>
      <c r="O74" s="114"/>
      <c r="P74" s="114"/>
      <c r="Q74" s="1"/>
      <c r="R74" s="1"/>
      <c r="S74" s="1"/>
      <c r="T74" s="1"/>
      <c r="U74" s="1"/>
      <c r="V74" s="1"/>
      <c r="W74" s="1"/>
      <c r="X74" s="1"/>
      <c r="Y74" s="1"/>
    </row>
    <row r="75" spans="1:25" ht="12" customHeight="1">
      <c r="A75" s="114"/>
      <c r="B75" s="114"/>
      <c r="C75" s="76"/>
      <c r="D75" s="56"/>
      <c r="E75" s="114"/>
      <c r="F75" s="114"/>
      <c r="G75" s="114"/>
      <c r="H75" s="114"/>
      <c r="I75" s="114"/>
      <c r="J75" s="114"/>
      <c r="K75" s="114"/>
      <c r="L75" s="114"/>
      <c r="M75" s="114"/>
      <c r="N75" s="114"/>
      <c r="O75" s="114"/>
      <c r="P75" s="114"/>
      <c r="Q75" s="1"/>
      <c r="R75" s="1"/>
      <c r="S75" s="1"/>
      <c r="T75" s="1"/>
      <c r="U75" s="1"/>
      <c r="V75" s="1"/>
      <c r="W75" s="1"/>
      <c r="X75" s="1"/>
      <c r="Y75" s="1"/>
    </row>
    <row r="76" spans="1:25" ht="12" customHeight="1">
      <c r="A76" s="114"/>
      <c r="B76" s="114"/>
      <c r="C76" s="76"/>
      <c r="D76" s="56"/>
      <c r="E76" s="114"/>
      <c r="F76" s="114"/>
      <c r="G76" s="114"/>
      <c r="H76" s="114"/>
      <c r="I76" s="114"/>
      <c r="J76" s="114"/>
      <c r="K76" s="114"/>
      <c r="L76" s="114"/>
      <c r="M76" s="114"/>
      <c r="N76" s="114"/>
      <c r="O76" s="114"/>
      <c r="P76" s="114"/>
      <c r="Q76" s="1"/>
      <c r="R76" s="1"/>
      <c r="S76" s="1"/>
      <c r="T76" s="1"/>
      <c r="U76" s="1"/>
      <c r="V76" s="1"/>
      <c r="W76" s="1"/>
      <c r="X76" s="1"/>
      <c r="Y76" s="1"/>
    </row>
    <row r="77" spans="1:25" ht="12" customHeight="1">
      <c r="A77" s="114"/>
      <c r="B77" s="114"/>
      <c r="C77" s="76"/>
      <c r="D77" s="56"/>
      <c r="E77" s="114"/>
      <c r="F77" s="114"/>
      <c r="G77" s="114"/>
      <c r="H77" s="114"/>
      <c r="I77" s="114"/>
      <c r="J77" s="114"/>
      <c r="K77" s="114"/>
      <c r="L77" s="114"/>
      <c r="M77" s="114"/>
      <c r="N77" s="114"/>
      <c r="O77" s="114"/>
      <c r="P77" s="114"/>
      <c r="Q77" s="1"/>
      <c r="R77" s="1"/>
      <c r="S77" s="1"/>
      <c r="T77" s="1"/>
      <c r="U77" s="1"/>
      <c r="V77" s="1"/>
      <c r="W77" s="1"/>
      <c r="X77" s="1"/>
      <c r="Y77" s="1"/>
    </row>
    <row r="78" spans="1:25" ht="12" customHeight="1">
      <c r="A78" s="114"/>
      <c r="B78" s="114"/>
      <c r="C78" s="76"/>
      <c r="D78" s="56"/>
      <c r="E78" s="114"/>
      <c r="F78" s="114"/>
      <c r="G78" s="114"/>
      <c r="H78" s="114"/>
      <c r="I78" s="114"/>
      <c r="J78" s="114"/>
      <c r="K78" s="114"/>
      <c r="L78" s="114"/>
      <c r="M78" s="114"/>
      <c r="N78" s="114"/>
      <c r="O78" s="114"/>
      <c r="P78" s="114"/>
      <c r="Q78" s="1"/>
      <c r="R78" s="1"/>
      <c r="S78" s="1"/>
      <c r="T78" s="1"/>
      <c r="U78" s="1"/>
      <c r="V78" s="1"/>
      <c r="W78" s="1"/>
      <c r="X78" s="1"/>
      <c r="Y78" s="1"/>
    </row>
    <row r="79" spans="1:25" ht="12" customHeight="1">
      <c r="A79" s="114"/>
      <c r="B79" s="114"/>
      <c r="C79" s="76"/>
      <c r="D79" s="56"/>
      <c r="E79" s="114"/>
      <c r="F79" s="114"/>
      <c r="G79" s="114"/>
      <c r="H79" s="114"/>
      <c r="I79" s="114"/>
      <c r="J79" s="114"/>
      <c r="K79" s="114"/>
      <c r="L79" s="114"/>
      <c r="M79" s="114"/>
      <c r="N79" s="114"/>
      <c r="O79" s="114"/>
      <c r="P79" s="114"/>
      <c r="Q79" s="1"/>
      <c r="R79" s="1"/>
      <c r="S79" s="1"/>
      <c r="T79" s="1"/>
      <c r="U79" s="1"/>
      <c r="V79" s="1"/>
      <c r="W79" s="1"/>
      <c r="X79" s="1"/>
      <c r="Y79" s="1"/>
    </row>
    <row r="80" spans="1:25" ht="12" customHeight="1">
      <c r="A80" s="114"/>
      <c r="B80" s="114"/>
      <c r="C80" s="76"/>
      <c r="D80" s="56"/>
      <c r="E80" s="114"/>
      <c r="F80" s="114"/>
      <c r="G80" s="114"/>
      <c r="H80" s="114"/>
      <c r="I80" s="114"/>
      <c r="J80" s="114"/>
      <c r="K80" s="114"/>
      <c r="L80" s="114"/>
      <c r="M80" s="114"/>
      <c r="N80" s="114"/>
      <c r="O80" s="114"/>
      <c r="P80" s="114"/>
      <c r="Q80" s="1"/>
      <c r="R80" s="1"/>
      <c r="S80" s="1"/>
      <c r="T80" s="1"/>
      <c r="U80" s="1"/>
      <c r="V80" s="1"/>
      <c r="W80" s="1"/>
      <c r="X80" s="1"/>
      <c r="Y80" s="1"/>
    </row>
    <row r="81" spans="1:25" ht="12" customHeight="1">
      <c r="A81" s="114"/>
      <c r="B81" s="114"/>
      <c r="C81" s="76"/>
      <c r="D81" s="56"/>
      <c r="E81" s="114"/>
      <c r="F81" s="114"/>
      <c r="G81" s="114"/>
      <c r="H81" s="114"/>
      <c r="I81" s="114"/>
      <c r="J81" s="114"/>
      <c r="K81" s="114"/>
      <c r="L81" s="114"/>
      <c r="M81" s="114"/>
      <c r="N81" s="114"/>
      <c r="O81" s="114"/>
      <c r="P81" s="114"/>
      <c r="Q81" s="1"/>
      <c r="R81" s="1"/>
      <c r="S81" s="1"/>
      <c r="T81" s="1"/>
      <c r="U81" s="1"/>
      <c r="V81" s="1"/>
      <c r="W81" s="1"/>
      <c r="X81" s="1"/>
      <c r="Y81" s="1"/>
    </row>
    <row r="82" spans="1:25" ht="12" customHeight="1">
      <c r="A82" s="114"/>
      <c r="B82" s="114"/>
      <c r="C82" s="76"/>
      <c r="D82" s="56"/>
      <c r="E82" s="114"/>
      <c r="F82" s="114"/>
      <c r="G82" s="114"/>
      <c r="H82" s="114"/>
      <c r="I82" s="114"/>
      <c r="J82" s="114"/>
      <c r="K82" s="114"/>
      <c r="L82" s="114"/>
      <c r="M82" s="114"/>
      <c r="N82" s="114"/>
      <c r="O82" s="114"/>
      <c r="P82" s="114"/>
      <c r="Q82" s="1"/>
      <c r="R82" s="1"/>
      <c r="S82" s="1"/>
      <c r="T82" s="1"/>
      <c r="U82" s="1"/>
      <c r="V82" s="1"/>
      <c r="W82" s="1"/>
      <c r="X82" s="1"/>
      <c r="Y82" s="1"/>
    </row>
    <row r="83" spans="1:25" ht="12" customHeight="1">
      <c r="A83" s="114"/>
      <c r="B83" s="114"/>
      <c r="C83" s="76"/>
      <c r="D83" s="56"/>
      <c r="E83" s="114"/>
      <c r="F83" s="114"/>
      <c r="G83" s="114"/>
      <c r="H83" s="114"/>
      <c r="I83" s="114"/>
      <c r="J83" s="114"/>
      <c r="K83" s="114"/>
      <c r="L83" s="114"/>
      <c r="M83" s="114"/>
      <c r="N83" s="114"/>
      <c r="O83" s="114"/>
      <c r="P83" s="114"/>
      <c r="Q83" s="1"/>
      <c r="R83" s="1"/>
      <c r="S83" s="1"/>
      <c r="T83" s="1"/>
      <c r="U83" s="1"/>
      <c r="V83" s="1"/>
      <c r="W83" s="1"/>
      <c r="X83" s="1"/>
      <c r="Y83" s="1"/>
    </row>
    <row r="84" spans="1:25" ht="12" customHeight="1">
      <c r="A84" s="114"/>
      <c r="B84" s="114"/>
      <c r="C84" s="114"/>
      <c r="D84" s="114"/>
      <c r="E84" s="114"/>
      <c r="F84" s="114"/>
      <c r="G84" s="114"/>
      <c r="H84" s="114"/>
      <c r="I84" s="114"/>
      <c r="J84" s="114"/>
      <c r="K84" s="114"/>
      <c r="L84" s="114"/>
      <c r="M84" s="114"/>
      <c r="N84" s="114"/>
      <c r="O84" s="114"/>
      <c r="P84" s="114"/>
      <c r="Q84" s="1"/>
      <c r="R84" s="1"/>
      <c r="S84" s="1"/>
      <c r="T84" s="1"/>
      <c r="U84" s="1"/>
      <c r="V84" s="1"/>
      <c r="W84" s="1"/>
      <c r="X84" s="1"/>
      <c r="Y84" s="1"/>
    </row>
    <row r="85" spans="1:25" ht="12" customHeight="1">
      <c r="A85" s="114"/>
      <c r="B85" s="114"/>
      <c r="C85" s="114"/>
      <c r="D85" s="114"/>
      <c r="E85" s="114"/>
      <c r="F85" s="114"/>
      <c r="G85" s="114"/>
      <c r="H85" s="114"/>
      <c r="I85" s="114"/>
      <c r="J85" s="114"/>
      <c r="K85" s="114"/>
      <c r="L85" s="114"/>
      <c r="M85" s="114"/>
      <c r="N85" s="114"/>
      <c r="O85" s="114"/>
      <c r="P85" s="114"/>
      <c r="Q85" s="1"/>
      <c r="R85" s="1"/>
      <c r="S85" s="1"/>
      <c r="T85" s="1"/>
      <c r="U85" s="1"/>
      <c r="V85" s="1"/>
      <c r="W85" s="1"/>
      <c r="X85" s="1"/>
      <c r="Y85" s="1"/>
    </row>
    <row r="86" spans="1:25" ht="12" customHeight="1">
      <c r="A86" s="114"/>
      <c r="B86" s="114"/>
      <c r="C86" s="114"/>
      <c r="D86" s="114"/>
      <c r="E86" s="114"/>
      <c r="F86" s="114"/>
      <c r="G86" s="114"/>
      <c r="H86" s="114"/>
      <c r="I86" s="114"/>
      <c r="J86" s="114"/>
      <c r="K86" s="114"/>
      <c r="L86" s="114"/>
      <c r="M86" s="114"/>
      <c r="N86" s="114"/>
      <c r="O86" s="114"/>
      <c r="P86" s="114"/>
      <c r="Q86" s="1"/>
      <c r="R86" s="1"/>
      <c r="S86" s="1"/>
      <c r="T86" s="1"/>
      <c r="U86" s="1"/>
      <c r="V86" s="1"/>
      <c r="W86" s="1"/>
      <c r="X86" s="1"/>
      <c r="Y86" s="1"/>
    </row>
    <row r="87" spans="1:25" ht="12" customHeight="1">
      <c r="A87" s="114"/>
      <c r="B87" s="114"/>
      <c r="C87" s="114"/>
      <c r="D87" s="114"/>
      <c r="E87" s="114"/>
      <c r="F87" s="114"/>
      <c r="G87" s="114"/>
      <c r="H87" s="114"/>
      <c r="I87" s="114"/>
      <c r="J87" s="114"/>
      <c r="K87" s="114"/>
      <c r="L87" s="114"/>
      <c r="M87" s="114"/>
      <c r="N87" s="114"/>
      <c r="O87" s="114"/>
      <c r="P87" s="114"/>
      <c r="Q87" s="1"/>
      <c r="R87" s="1"/>
      <c r="S87" s="1"/>
      <c r="T87" s="1"/>
      <c r="U87" s="1"/>
      <c r="V87" s="1"/>
      <c r="W87" s="1"/>
      <c r="X87" s="1"/>
      <c r="Y87" s="1"/>
    </row>
    <row r="88" spans="1:25" ht="12" customHeight="1">
      <c r="A88" s="114"/>
      <c r="B88" s="114"/>
      <c r="C88" s="114"/>
      <c r="D88" s="114"/>
      <c r="E88" s="114"/>
      <c r="F88" s="114"/>
      <c r="G88" s="114"/>
      <c r="H88" s="114"/>
      <c r="I88" s="114"/>
      <c r="J88" s="114"/>
      <c r="K88" s="114"/>
      <c r="L88" s="114"/>
      <c r="M88" s="114"/>
      <c r="N88" s="114"/>
      <c r="O88" s="114"/>
      <c r="P88" s="114"/>
      <c r="Q88" s="1"/>
      <c r="R88" s="1"/>
      <c r="S88" s="1"/>
      <c r="T88" s="1"/>
      <c r="U88" s="1"/>
      <c r="V88" s="1"/>
      <c r="W88" s="1"/>
      <c r="X88" s="1"/>
      <c r="Y88" s="1"/>
    </row>
    <row r="89" spans="1:25" ht="12" customHeight="1">
      <c r="A89" s="114"/>
      <c r="B89" s="114"/>
      <c r="C89" s="114"/>
      <c r="D89" s="114"/>
      <c r="E89" s="114"/>
      <c r="F89" s="114"/>
      <c r="G89" s="114"/>
      <c r="H89" s="114"/>
      <c r="I89" s="114"/>
      <c r="J89" s="114"/>
      <c r="K89" s="114"/>
      <c r="L89" s="114"/>
      <c r="M89" s="114"/>
      <c r="N89" s="114"/>
      <c r="O89" s="114"/>
      <c r="P89" s="114"/>
      <c r="Q89" s="1"/>
      <c r="R89" s="1"/>
      <c r="S89" s="1"/>
      <c r="T89" s="1"/>
      <c r="U89" s="1"/>
      <c r="V89" s="1"/>
      <c r="W89" s="1"/>
      <c r="X89" s="1"/>
      <c r="Y89" s="1"/>
    </row>
    <row r="90" spans="1:25" ht="12" customHeight="1">
      <c r="A90" s="114"/>
      <c r="B90" s="114"/>
      <c r="C90" s="114"/>
      <c r="D90" s="114"/>
      <c r="E90" s="114"/>
      <c r="F90" s="114"/>
      <c r="G90" s="114"/>
      <c r="H90" s="114"/>
      <c r="I90" s="114"/>
      <c r="J90" s="114"/>
      <c r="K90" s="114"/>
      <c r="L90" s="114"/>
      <c r="M90" s="114"/>
      <c r="N90" s="114"/>
      <c r="O90" s="114"/>
      <c r="P90" s="114"/>
      <c r="Q90" s="1"/>
      <c r="R90" s="1"/>
      <c r="S90" s="1"/>
      <c r="T90" s="1"/>
      <c r="U90" s="1"/>
      <c r="V90" s="1"/>
      <c r="W90" s="1"/>
      <c r="X90" s="1"/>
      <c r="Y90" s="1"/>
    </row>
    <row r="91" spans="1:25" ht="12" customHeight="1">
      <c r="A91" s="114"/>
      <c r="B91" s="114"/>
      <c r="C91" s="114"/>
      <c r="D91" s="114"/>
      <c r="E91" s="114"/>
      <c r="F91" s="114"/>
      <c r="G91" s="114"/>
      <c r="H91" s="114"/>
      <c r="I91" s="114"/>
      <c r="J91" s="114"/>
      <c r="K91" s="114"/>
      <c r="L91" s="114"/>
      <c r="M91" s="114"/>
      <c r="N91" s="114"/>
      <c r="O91" s="114"/>
      <c r="P91" s="114"/>
      <c r="Q91" s="1"/>
      <c r="R91" s="1"/>
      <c r="S91" s="1"/>
      <c r="T91" s="1"/>
      <c r="U91" s="1"/>
      <c r="V91" s="1"/>
      <c r="W91" s="1"/>
      <c r="X91" s="1"/>
      <c r="Y91" s="1"/>
    </row>
    <row r="92" spans="1:25" ht="12" customHeight="1">
      <c r="A92" s="114"/>
      <c r="B92" s="114"/>
      <c r="C92" s="114"/>
      <c r="D92" s="114"/>
      <c r="E92" s="114"/>
      <c r="F92" s="114"/>
      <c r="G92" s="114"/>
      <c r="H92" s="114"/>
      <c r="I92" s="114"/>
      <c r="J92" s="114"/>
      <c r="K92" s="114"/>
      <c r="L92" s="114"/>
      <c r="M92" s="114"/>
      <c r="N92" s="114"/>
      <c r="O92" s="114"/>
      <c r="P92" s="114"/>
      <c r="Q92" s="1"/>
      <c r="R92" s="1"/>
      <c r="S92" s="1"/>
      <c r="T92" s="1"/>
      <c r="U92" s="1"/>
      <c r="V92" s="1"/>
      <c r="W92" s="1"/>
      <c r="X92" s="1"/>
      <c r="Y92" s="1"/>
    </row>
    <row r="93" spans="1:25" ht="12" customHeight="1">
      <c r="A93" s="114"/>
      <c r="B93" s="114"/>
      <c r="C93" s="114"/>
      <c r="D93" s="114"/>
      <c r="E93" s="114"/>
      <c r="F93" s="114"/>
      <c r="G93" s="114"/>
      <c r="H93" s="114"/>
      <c r="I93" s="114"/>
      <c r="J93" s="114"/>
      <c r="K93" s="114"/>
      <c r="L93" s="114"/>
      <c r="M93" s="114"/>
      <c r="N93" s="114"/>
      <c r="O93" s="114"/>
      <c r="P93" s="114"/>
      <c r="Q93" s="1"/>
      <c r="R93" s="1"/>
      <c r="S93" s="1"/>
      <c r="T93" s="1"/>
      <c r="U93" s="1"/>
      <c r="V93" s="1"/>
      <c r="W93" s="1"/>
      <c r="X93" s="1"/>
      <c r="Y93" s="1"/>
    </row>
    <row r="94" spans="1:25" ht="12" customHeight="1">
      <c r="A94" s="114"/>
      <c r="B94" s="114"/>
      <c r="C94" s="114"/>
      <c r="D94" s="114"/>
      <c r="E94" s="114"/>
      <c r="F94" s="114"/>
      <c r="G94" s="114"/>
      <c r="H94" s="114"/>
      <c r="I94" s="114"/>
      <c r="J94" s="114"/>
      <c r="K94" s="114"/>
      <c r="L94" s="114"/>
      <c r="M94" s="114"/>
      <c r="N94" s="114"/>
      <c r="O94" s="114"/>
      <c r="P94" s="114"/>
      <c r="Q94" s="1"/>
      <c r="R94" s="1"/>
      <c r="S94" s="1"/>
      <c r="T94" s="1"/>
      <c r="U94" s="1"/>
      <c r="V94" s="1"/>
      <c r="W94" s="1"/>
      <c r="X94" s="1"/>
      <c r="Y94" s="1"/>
    </row>
    <row r="95" spans="1:25" ht="12" customHeight="1">
      <c r="A95" s="114"/>
      <c r="B95" s="114"/>
      <c r="C95" s="114"/>
      <c r="D95" s="114"/>
      <c r="E95" s="114"/>
      <c r="F95" s="114"/>
      <c r="G95" s="114"/>
      <c r="H95" s="114"/>
      <c r="I95" s="114"/>
      <c r="J95" s="114"/>
      <c r="K95" s="114"/>
      <c r="L95" s="114"/>
      <c r="M95" s="114"/>
      <c r="N95" s="114"/>
      <c r="O95" s="114"/>
      <c r="P95" s="114"/>
      <c r="Q95" s="1"/>
      <c r="R95" s="1"/>
      <c r="S95" s="1"/>
      <c r="T95" s="1"/>
      <c r="U95" s="1"/>
      <c r="V95" s="1"/>
      <c r="W95" s="1"/>
      <c r="X95" s="1"/>
      <c r="Y95" s="1"/>
    </row>
    <row r="96" spans="1:25" ht="12" customHeight="1">
      <c r="A96" s="114"/>
      <c r="B96" s="114"/>
      <c r="C96" s="114"/>
      <c r="D96" s="114"/>
      <c r="E96" s="114"/>
      <c r="F96" s="114"/>
      <c r="G96" s="114"/>
      <c r="H96" s="114"/>
      <c r="I96" s="114"/>
      <c r="J96" s="114"/>
      <c r="K96" s="114"/>
      <c r="L96" s="114"/>
      <c r="M96" s="114"/>
      <c r="N96" s="114"/>
      <c r="O96" s="114"/>
      <c r="P96" s="114"/>
      <c r="Q96" s="1"/>
      <c r="R96" s="1"/>
      <c r="S96" s="1"/>
      <c r="T96" s="1"/>
      <c r="U96" s="1"/>
      <c r="V96" s="1"/>
      <c r="W96" s="1"/>
      <c r="X96" s="1"/>
      <c r="Y96" s="1"/>
    </row>
    <row r="97" spans="1:25" ht="12" customHeight="1">
      <c r="A97" s="114"/>
      <c r="B97" s="114"/>
      <c r="C97" s="114"/>
      <c r="D97" s="114"/>
      <c r="E97" s="114"/>
      <c r="F97" s="114"/>
      <c r="G97" s="114"/>
      <c r="H97" s="114"/>
      <c r="I97" s="114"/>
      <c r="J97" s="114"/>
      <c r="K97" s="114"/>
      <c r="L97" s="114"/>
      <c r="M97" s="114"/>
      <c r="N97" s="114"/>
      <c r="O97" s="114"/>
      <c r="P97" s="114"/>
      <c r="Q97" s="1"/>
      <c r="R97" s="1"/>
      <c r="S97" s="1"/>
      <c r="T97" s="1"/>
      <c r="U97" s="1"/>
      <c r="V97" s="1"/>
      <c r="W97" s="1"/>
      <c r="X97" s="1"/>
      <c r="Y97" s="1"/>
    </row>
    <row r="98" spans="1:25" ht="12" customHeight="1">
      <c r="A98" s="114"/>
      <c r="B98" s="114"/>
      <c r="C98" s="114"/>
      <c r="D98" s="114"/>
      <c r="E98" s="114"/>
      <c r="F98" s="114"/>
      <c r="G98" s="114"/>
      <c r="H98" s="114"/>
      <c r="I98" s="114"/>
      <c r="J98" s="114"/>
      <c r="K98" s="114"/>
      <c r="L98" s="114"/>
      <c r="M98" s="114"/>
      <c r="N98" s="114"/>
      <c r="O98" s="114"/>
      <c r="P98" s="114"/>
      <c r="Q98" s="1"/>
      <c r="R98" s="1"/>
      <c r="S98" s="1"/>
      <c r="T98" s="1"/>
      <c r="U98" s="1"/>
      <c r="V98" s="1"/>
      <c r="W98" s="1"/>
      <c r="X98" s="1"/>
      <c r="Y98" s="1"/>
    </row>
    <row r="99" spans="1:25" ht="12" customHeight="1">
      <c r="A99" s="114"/>
      <c r="B99" s="114"/>
      <c r="C99" s="114"/>
      <c r="D99" s="114"/>
      <c r="E99" s="114"/>
      <c r="F99" s="114"/>
      <c r="G99" s="114"/>
      <c r="H99" s="114"/>
      <c r="I99" s="114"/>
      <c r="J99" s="114"/>
      <c r="K99" s="114"/>
      <c r="L99" s="114"/>
      <c r="M99" s="114"/>
      <c r="N99" s="114"/>
      <c r="O99" s="114"/>
      <c r="P99" s="114"/>
      <c r="Q99" s="1"/>
      <c r="R99" s="1"/>
      <c r="S99" s="1"/>
      <c r="T99" s="1"/>
      <c r="U99" s="1"/>
      <c r="V99" s="1"/>
      <c r="W99" s="1"/>
      <c r="X99" s="1"/>
      <c r="Y99" s="1"/>
    </row>
    <row r="100" spans="1:25" ht="12" customHeight="1">
      <c r="A100" s="114"/>
      <c r="B100" s="114"/>
      <c r="C100" s="114"/>
      <c r="D100" s="114"/>
      <c r="E100" s="114"/>
      <c r="F100" s="114"/>
      <c r="G100" s="114"/>
      <c r="H100" s="114"/>
      <c r="I100" s="114"/>
      <c r="J100" s="114"/>
      <c r="K100" s="114"/>
      <c r="L100" s="114"/>
      <c r="M100" s="114"/>
      <c r="N100" s="114"/>
      <c r="O100" s="114"/>
      <c r="P100" s="114"/>
      <c r="Q100" s="1"/>
      <c r="R100" s="1"/>
      <c r="S100" s="1"/>
      <c r="T100" s="1"/>
      <c r="U100" s="1"/>
      <c r="V100" s="1"/>
      <c r="W100" s="1"/>
      <c r="X100" s="1"/>
      <c r="Y100" s="1"/>
    </row>
    <row r="101" spans="1:25" ht="12" customHeight="1">
      <c r="A101" s="114"/>
      <c r="B101" s="114"/>
      <c r="C101" s="114"/>
      <c r="D101" s="114"/>
      <c r="E101" s="114"/>
      <c r="F101" s="114"/>
      <c r="G101" s="114"/>
      <c r="H101" s="114"/>
      <c r="I101" s="114"/>
      <c r="J101" s="114"/>
      <c r="K101" s="114"/>
      <c r="L101" s="114"/>
      <c r="M101" s="114"/>
      <c r="N101" s="114"/>
      <c r="O101" s="114"/>
      <c r="P101" s="114"/>
      <c r="Q101" s="1"/>
      <c r="R101" s="1"/>
      <c r="S101" s="1"/>
      <c r="T101" s="1"/>
      <c r="U101" s="1"/>
      <c r="V101" s="1"/>
      <c r="W101" s="1"/>
      <c r="X101" s="1"/>
      <c r="Y101" s="1"/>
    </row>
    <row r="102" spans="1:25" ht="12" customHeight="1">
      <c r="A102" s="114"/>
      <c r="B102" s="114"/>
      <c r="C102" s="114"/>
      <c r="D102" s="114"/>
      <c r="E102" s="114"/>
      <c r="F102" s="114"/>
      <c r="G102" s="114"/>
      <c r="H102" s="114"/>
      <c r="I102" s="114"/>
      <c r="J102" s="114"/>
      <c r="K102" s="114"/>
      <c r="L102" s="114"/>
      <c r="M102" s="114"/>
      <c r="N102" s="114"/>
      <c r="O102" s="114"/>
      <c r="P102" s="114"/>
      <c r="Q102" s="1"/>
      <c r="R102" s="1"/>
      <c r="S102" s="1"/>
      <c r="T102" s="1"/>
      <c r="U102" s="1"/>
      <c r="V102" s="1"/>
      <c r="W102" s="1"/>
      <c r="X102" s="1"/>
      <c r="Y102" s="1"/>
    </row>
    <row r="103" spans="1:25" ht="12" customHeight="1">
      <c r="A103" s="114"/>
      <c r="B103" s="114"/>
      <c r="C103" s="114"/>
      <c r="D103" s="114"/>
      <c r="E103" s="114"/>
      <c r="F103" s="114"/>
      <c r="G103" s="114"/>
      <c r="H103" s="114"/>
      <c r="I103" s="114"/>
      <c r="J103" s="114"/>
      <c r="K103" s="114"/>
      <c r="L103" s="114"/>
      <c r="M103" s="114"/>
      <c r="N103" s="114"/>
      <c r="O103" s="114"/>
      <c r="P103" s="114"/>
      <c r="Q103" s="1"/>
      <c r="R103" s="1"/>
      <c r="S103" s="1"/>
      <c r="T103" s="1"/>
      <c r="U103" s="1"/>
      <c r="V103" s="1"/>
      <c r="W103" s="1"/>
      <c r="X103" s="1"/>
      <c r="Y103" s="1"/>
    </row>
    <row r="104" spans="1:25" ht="12" customHeight="1">
      <c r="A104" s="114"/>
      <c r="B104" s="114"/>
      <c r="C104" s="114"/>
      <c r="D104" s="114"/>
      <c r="E104" s="114"/>
      <c r="F104" s="114"/>
      <c r="G104" s="114"/>
      <c r="H104" s="114"/>
      <c r="I104" s="114"/>
      <c r="J104" s="114"/>
      <c r="K104" s="114"/>
      <c r="L104" s="114"/>
      <c r="M104" s="114"/>
      <c r="N104" s="114"/>
      <c r="O104" s="114"/>
      <c r="P104" s="114"/>
      <c r="Q104" s="1"/>
      <c r="R104" s="1"/>
      <c r="S104" s="1"/>
      <c r="T104" s="1"/>
      <c r="U104" s="1"/>
      <c r="V104" s="1"/>
      <c r="W104" s="1"/>
      <c r="X104" s="1"/>
      <c r="Y104" s="1"/>
    </row>
    <row r="105" spans="1:25" ht="12" customHeight="1">
      <c r="A105" s="114"/>
      <c r="B105" s="114"/>
      <c r="C105" s="114"/>
      <c r="D105" s="114"/>
      <c r="E105" s="114"/>
      <c r="F105" s="114"/>
      <c r="G105" s="114"/>
      <c r="H105" s="114"/>
      <c r="I105" s="114"/>
      <c r="J105" s="114"/>
      <c r="K105" s="114"/>
      <c r="L105" s="114"/>
      <c r="M105" s="114"/>
      <c r="N105" s="114"/>
      <c r="O105" s="114"/>
      <c r="P105" s="114"/>
      <c r="Q105" s="1"/>
      <c r="R105" s="1"/>
      <c r="S105" s="1"/>
      <c r="T105" s="1"/>
      <c r="U105" s="1"/>
      <c r="V105" s="1"/>
      <c r="W105" s="1"/>
      <c r="X105" s="1"/>
      <c r="Y105" s="1"/>
    </row>
    <row r="106" spans="1:25" ht="12" customHeight="1">
      <c r="A106" s="114"/>
      <c r="B106" s="114"/>
      <c r="C106" s="114"/>
      <c r="D106" s="114"/>
      <c r="E106" s="114"/>
      <c r="F106" s="114"/>
      <c r="G106" s="114"/>
      <c r="H106" s="114"/>
      <c r="I106" s="114"/>
      <c r="J106" s="114"/>
      <c r="K106" s="114"/>
      <c r="L106" s="114"/>
      <c r="M106" s="114"/>
      <c r="N106" s="114"/>
      <c r="O106" s="114"/>
      <c r="P106" s="114"/>
      <c r="Q106" s="1"/>
      <c r="R106" s="1"/>
      <c r="S106" s="1"/>
      <c r="T106" s="1"/>
      <c r="U106" s="1"/>
      <c r="V106" s="1"/>
      <c r="W106" s="1"/>
      <c r="X106" s="1"/>
      <c r="Y106" s="1"/>
    </row>
    <row r="107" spans="1:25" ht="12" customHeight="1">
      <c r="A107" s="114"/>
      <c r="B107" s="114"/>
      <c r="C107" s="114"/>
      <c r="D107" s="114"/>
      <c r="E107" s="114"/>
      <c r="F107" s="114"/>
      <c r="G107" s="114"/>
      <c r="H107" s="114"/>
      <c r="I107" s="114"/>
      <c r="J107" s="114"/>
      <c r="K107" s="114"/>
      <c r="L107" s="114"/>
      <c r="M107" s="114"/>
      <c r="N107" s="114"/>
      <c r="O107" s="114"/>
      <c r="P107" s="114"/>
      <c r="Q107" s="1"/>
      <c r="R107" s="1"/>
      <c r="S107" s="1"/>
      <c r="T107" s="1"/>
      <c r="U107" s="1"/>
      <c r="V107" s="1"/>
      <c r="W107" s="1"/>
      <c r="X107" s="1"/>
      <c r="Y107" s="1"/>
    </row>
    <row r="108" spans="1:25" ht="12" customHeight="1">
      <c r="A108" s="114"/>
      <c r="B108" s="114"/>
      <c r="C108" s="114"/>
      <c r="D108" s="114"/>
      <c r="E108" s="114"/>
      <c r="F108" s="114"/>
      <c r="G108" s="114"/>
      <c r="H108" s="114"/>
      <c r="I108" s="114"/>
      <c r="J108" s="114"/>
      <c r="K108" s="114"/>
      <c r="L108" s="114"/>
      <c r="M108" s="114"/>
      <c r="N108" s="114"/>
      <c r="O108" s="114"/>
      <c r="P108" s="114"/>
      <c r="Q108" s="1"/>
      <c r="R108" s="1"/>
      <c r="S108" s="1"/>
      <c r="T108" s="1"/>
      <c r="U108" s="1"/>
      <c r="V108" s="1"/>
      <c r="W108" s="1"/>
      <c r="X108" s="1"/>
      <c r="Y108" s="1"/>
    </row>
    <row r="109" spans="1:25" ht="12" customHeight="1">
      <c r="A109" s="114"/>
      <c r="B109" s="114"/>
      <c r="C109" s="114"/>
      <c r="D109" s="114"/>
      <c r="E109" s="114"/>
      <c r="F109" s="114"/>
      <c r="G109" s="114"/>
      <c r="H109" s="114"/>
      <c r="I109" s="114"/>
      <c r="J109" s="114"/>
      <c r="K109" s="114"/>
      <c r="L109" s="114"/>
      <c r="M109" s="114"/>
      <c r="N109" s="114"/>
      <c r="O109" s="114"/>
      <c r="P109" s="114"/>
      <c r="Q109" s="1"/>
      <c r="R109" s="1"/>
      <c r="S109" s="1"/>
      <c r="T109" s="1"/>
      <c r="U109" s="1"/>
      <c r="V109" s="1"/>
      <c r="W109" s="1"/>
      <c r="X109" s="1"/>
      <c r="Y109" s="1"/>
    </row>
    <row r="110" spans="1:25" ht="12" customHeight="1">
      <c r="A110" s="114"/>
      <c r="B110" s="114"/>
      <c r="C110" s="114"/>
      <c r="D110" s="114"/>
      <c r="E110" s="114"/>
      <c r="F110" s="114"/>
      <c r="G110" s="114"/>
      <c r="H110" s="114"/>
      <c r="I110" s="114"/>
      <c r="J110" s="114"/>
      <c r="K110" s="114"/>
      <c r="L110" s="114"/>
      <c r="M110" s="114"/>
      <c r="N110" s="114"/>
      <c r="O110" s="114"/>
      <c r="P110" s="114"/>
      <c r="Q110" s="1"/>
      <c r="R110" s="1"/>
      <c r="S110" s="1"/>
      <c r="T110" s="1"/>
      <c r="U110" s="1"/>
      <c r="V110" s="1"/>
      <c r="W110" s="1"/>
      <c r="X110" s="1"/>
      <c r="Y110" s="1"/>
    </row>
    <row r="111" spans="1:25" ht="12" customHeight="1">
      <c r="A111" s="114"/>
      <c r="B111" s="114"/>
      <c r="C111" s="114"/>
      <c r="D111" s="114"/>
      <c r="E111" s="114"/>
      <c r="F111" s="114"/>
      <c r="G111" s="114"/>
      <c r="H111" s="114"/>
      <c r="I111" s="114"/>
      <c r="J111" s="114"/>
      <c r="K111" s="114"/>
      <c r="L111" s="114"/>
      <c r="M111" s="114"/>
      <c r="N111" s="114"/>
      <c r="O111" s="114"/>
      <c r="P111" s="114"/>
      <c r="Q111" s="1"/>
      <c r="R111" s="1"/>
      <c r="S111" s="1"/>
      <c r="T111" s="1"/>
      <c r="U111" s="1"/>
      <c r="V111" s="1"/>
      <c r="W111" s="1"/>
      <c r="X111" s="1"/>
      <c r="Y111" s="1"/>
    </row>
    <row r="112" spans="1:25" ht="12" customHeight="1">
      <c r="A112" s="114"/>
      <c r="B112" s="114"/>
      <c r="C112" s="114"/>
      <c r="D112" s="114"/>
      <c r="E112" s="114"/>
      <c r="F112" s="114"/>
      <c r="G112" s="114"/>
      <c r="H112" s="114"/>
      <c r="I112" s="114"/>
      <c r="J112" s="114"/>
      <c r="K112" s="114"/>
      <c r="L112" s="114"/>
      <c r="M112" s="114"/>
      <c r="N112" s="114"/>
      <c r="O112" s="114"/>
      <c r="P112" s="114"/>
      <c r="Q112" s="1"/>
      <c r="R112" s="1"/>
      <c r="S112" s="1"/>
      <c r="T112" s="1"/>
      <c r="U112" s="1"/>
      <c r="V112" s="1"/>
      <c r="W112" s="1"/>
      <c r="X112" s="1"/>
      <c r="Y112" s="1"/>
    </row>
    <row r="113" spans="1:25" ht="12" customHeight="1">
      <c r="A113" s="114"/>
      <c r="B113" s="114"/>
      <c r="C113" s="114"/>
      <c r="D113" s="114"/>
      <c r="E113" s="114"/>
      <c r="F113" s="114"/>
      <c r="G113" s="114"/>
      <c r="H113" s="114"/>
      <c r="I113" s="114"/>
      <c r="J113" s="114"/>
      <c r="K113" s="114"/>
      <c r="L113" s="114"/>
      <c r="M113" s="114"/>
      <c r="N113" s="114"/>
      <c r="O113" s="114"/>
      <c r="P113" s="114"/>
      <c r="Q113" s="1"/>
      <c r="R113" s="1"/>
      <c r="S113" s="1"/>
      <c r="T113" s="1"/>
      <c r="U113" s="1"/>
      <c r="V113" s="1"/>
      <c r="W113" s="1"/>
      <c r="X113" s="1"/>
      <c r="Y113" s="1"/>
    </row>
    <row r="114" spans="1:25" ht="12" customHeight="1">
      <c r="A114" s="114"/>
      <c r="B114" s="114"/>
      <c r="C114" s="114"/>
      <c r="D114" s="114"/>
      <c r="E114" s="114"/>
      <c r="F114" s="114"/>
      <c r="G114" s="114"/>
      <c r="H114" s="114"/>
      <c r="I114" s="114"/>
      <c r="J114" s="114"/>
      <c r="K114" s="114"/>
      <c r="L114" s="114"/>
      <c r="M114" s="114"/>
      <c r="N114" s="114"/>
      <c r="O114" s="114"/>
      <c r="P114" s="114"/>
      <c r="Q114" s="1"/>
      <c r="R114" s="1"/>
      <c r="S114" s="1"/>
      <c r="T114" s="1"/>
      <c r="U114" s="1"/>
      <c r="V114" s="1"/>
      <c r="W114" s="1"/>
      <c r="X114" s="1"/>
      <c r="Y114" s="1"/>
    </row>
    <row r="115" spans="1:25" ht="12" customHeight="1">
      <c r="A115" s="114"/>
      <c r="B115" s="114"/>
      <c r="C115" s="114"/>
      <c r="D115" s="114"/>
      <c r="E115" s="114"/>
      <c r="F115" s="114"/>
      <c r="G115" s="114"/>
      <c r="H115" s="114"/>
      <c r="I115" s="114"/>
      <c r="J115" s="114"/>
      <c r="K115" s="114"/>
      <c r="L115" s="114"/>
      <c r="M115" s="114"/>
      <c r="N115" s="114"/>
      <c r="O115" s="114"/>
      <c r="P115" s="114"/>
      <c r="Q115" s="1"/>
      <c r="R115" s="1"/>
      <c r="S115" s="1"/>
      <c r="T115" s="1"/>
      <c r="U115" s="1"/>
      <c r="V115" s="1"/>
      <c r="W115" s="1"/>
      <c r="X115" s="1"/>
      <c r="Y115" s="1"/>
    </row>
    <row r="116" spans="1:25" ht="12" customHeight="1">
      <c r="A116" s="114"/>
      <c r="B116" s="114"/>
      <c r="C116" s="114"/>
      <c r="D116" s="114"/>
      <c r="E116" s="114"/>
      <c r="F116" s="114"/>
      <c r="G116" s="114"/>
      <c r="H116" s="114"/>
      <c r="I116" s="114"/>
      <c r="J116" s="114"/>
      <c r="K116" s="114"/>
      <c r="L116" s="114"/>
      <c r="M116" s="114"/>
      <c r="N116" s="114"/>
      <c r="O116" s="114"/>
      <c r="P116" s="114"/>
      <c r="Q116" s="1"/>
      <c r="R116" s="1"/>
      <c r="S116" s="1"/>
      <c r="T116" s="1"/>
      <c r="U116" s="1"/>
      <c r="V116" s="1"/>
      <c r="W116" s="1"/>
      <c r="X116" s="1"/>
      <c r="Y116" s="1"/>
    </row>
    <row r="117" spans="1:25" ht="12" customHeight="1">
      <c r="A117" s="114"/>
      <c r="B117" s="114"/>
      <c r="C117" s="114"/>
      <c r="D117" s="114"/>
      <c r="E117" s="114"/>
      <c r="F117" s="114"/>
      <c r="G117" s="114"/>
      <c r="H117" s="114"/>
      <c r="I117" s="114"/>
      <c r="J117" s="114"/>
      <c r="K117" s="114"/>
      <c r="L117" s="114"/>
      <c r="M117" s="114"/>
      <c r="N117" s="114"/>
      <c r="O117" s="114"/>
      <c r="P117" s="114"/>
      <c r="Q117" s="1"/>
      <c r="R117" s="1"/>
      <c r="S117" s="1"/>
      <c r="T117" s="1"/>
      <c r="U117" s="1"/>
      <c r="V117" s="1"/>
      <c r="W117" s="1"/>
      <c r="X117" s="1"/>
      <c r="Y117" s="1"/>
    </row>
    <row r="118" spans="1:25" ht="12" customHeight="1">
      <c r="A118" s="114"/>
      <c r="B118" s="114"/>
      <c r="C118" s="114"/>
      <c r="D118" s="114"/>
      <c r="E118" s="114"/>
      <c r="F118" s="114"/>
      <c r="G118" s="114"/>
      <c r="H118" s="114"/>
      <c r="I118" s="114"/>
      <c r="J118" s="114"/>
      <c r="K118" s="114"/>
      <c r="L118" s="114"/>
      <c r="M118" s="114"/>
      <c r="N118" s="114"/>
      <c r="O118" s="114"/>
      <c r="P118" s="114"/>
      <c r="Q118" s="1"/>
      <c r="R118" s="1"/>
      <c r="S118" s="1"/>
      <c r="T118" s="1"/>
      <c r="U118" s="1"/>
      <c r="V118" s="1"/>
      <c r="W118" s="1"/>
      <c r="X118" s="1"/>
      <c r="Y118" s="1"/>
    </row>
    <row r="119" spans="1:25" ht="12" customHeight="1">
      <c r="A119" s="114"/>
      <c r="B119" s="114"/>
      <c r="C119" s="114"/>
      <c r="D119" s="114"/>
      <c r="E119" s="114"/>
      <c r="F119" s="114"/>
      <c r="G119" s="114"/>
      <c r="H119" s="114"/>
      <c r="I119" s="114"/>
      <c r="J119" s="114"/>
      <c r="K119" s="114"/>
      <c r="L119" s="114"/>
      <c r="M119" s="114"/>
      <c r="N119" s="114"/>
      <c r="O119" s="114"/>
      <c r="P119" s="114"/>
      <c r="Q119" s="1"/>
      <c r="R119" s="1"/>
      <c r="S119" s="1"/>
      <c r="T119" s="1"/>
      <c r="U119" s="1"/>
      <c r="V119" s="1"/>
      <c r="W119" s="1"/>
      <c r="X119" s="1"/>
      <c r="Y119" s="1"/>
    </row>
    <row r="120" spans="1:25" ht="12" customHeight="1">
      <c r="A120" s="114"/>
      <c r="B120" s="114"/>
      <c r="C120" s="114"/>
      <c r="D120" s="114"/>
      <c r="E120" s="114"/>
      <c r="F120" s="114"/>
      <c r="G120" s="114"/>
      <c r="H120" s="114"/>
      <c r="I120" s="114"/>
      <c r="J120" s="114"/>
      <c r="K120" s="114"/>
      <c r="L120" s="114"/>
      <c r="M120" s="114"/>
      <c r="N120" s="114"/>
      <c r="O120" s="114"/>
      <c r="P120" s="114"/>
      <c r="Q120" s="1"/>
      <c r="R120" s="1"/>
      <c r="S120" s="1"/>
      <c r="T120" s="1"/>
      <c r="U120" s="1"/>
      <c r="V120" s="1"/>
      <c r="W120" s="1"/>
      <c r="X120" s="1"/>
      <c r="Y120" s="1"/>
    </row>
    <row r="121" spans="1:25" ht="12" customHeight="1">
      <c r="A121" s="114"/>
      <c r="B121" s="114"/>
      <c r="C121" s="114"/>
      <c r="D121" s="114"/>
      <c r="E121" s="114"/>
      <c r="F121" s="114"/>
      <c r="G121" s="114"/>
      <c r="H121" s="114"/>
      <c r="I121" s="114"/>
      <c r="J121" s="114"/>
      <c r="K121" s="114"/>
      <c r="L121" s="114"/>
      <c r="M121" s="114"/>
      <c r="N121" s="114"/>
      <c r="O121" s="114"/>
      <c r="P121" s="114"/>
      <c r="Q121" s="1"/>
      <c r="R121" s="1"/>
      <c r="S121" s="1"/>
      <c r="T121" s="1"/>
      <c r="U121" s="1"/>
      <c r="V121" s="1"/>
      <c r="W121" s="1"/>
      <c r="X121" s="1"/>
      <c r="Y121" s="1"/>
    </row>
    <row r="122" spans="1:25" ht="12" customHeight="1">
      <c r="A122" s="114"/>
      <c r="B122" s="114"/>
      <c r="C122" s="114"/>
      <c r="D122" s="114"/>
      <c r="E122" s="114"/>
      <c r="F122" s="114"/>
      <c r="G122" s="114"/>
      <c r="H122" s="114"/>
      <c r="I122" s="114"/>
      <c r="J122" s="114"/>
      <c r="K122" s="114"/>
      <c r="L122" s="114"/>
      <c r="M122" s="114"/>
      <c r="N122" s="114"/>
      <c r="O122" s="114"/>
      <c r="P122" s="114"/>
      <c r="Q122" s="1"/>
      <c r="R122" s="1"/>
      <c r="S122" s="1"/>
      <c r="T122" s="1"/>
      <c r="U122" s="1"/>
      <c r="V122" s="1"/>
      <c r="W122" s="1"/>
      <c r="X122" s="1"/>
      <c r="Y122" s="1"/>
    </row>
    <row r="123" spans="1:25" ht="12" customHeight="1">
      <c r="A123" s="114"/>
      <c r="B123" s="114"/>
      <c r="C123" s="114"/>
      <c r="D123" s="114"/>
      <c r="E123" s="114"/>
      <c r="F123" s="114"/>
      <c r="G123" s="114"/>
      <c r="H123" s="114"/>
      <c r="I123" s="114"/>
      <c r="J123" s="114"/>
      <c r="K123" s="114"/>
      <c r="L123" s="114"/>
      <c r="M123" s="114"/>
      <c r="N123" s="114"/>
      <c r="O123" s="114"/>
      <c r="P123" s="114"/>
      <c r="Q123" s="1"/>
      <c r="R123" s="1"/>
      <c r="S123" s="1"/>
      <c r="T123" s="1"/>
      <c r="U123" s="1"/>
      <c r="V123" s="1"/>
      <c r="W123" s="1"/>
      <c r="X123" s="1"/>
      <c r="Y123" s="1"/>
    </row>
    <row r="124" spans="1:25" ht="12" customHeight="1">
      <c r="A124" s="114"/>
      <c r="B124" s="114"/>
      <c r="C124" s="114"/>
      <c r="D124" s="114"/>
      <c r="E124" s="114"/>
      <c r="F124" s="114"/>
      <c r="G124" s="114"/>
      <c r="H124" s="114"/>
      <c r="I124" s="114"/>
      <c r="J124" s="114"/>
      <c r="K124" s="114"/>
      <c r="L124" s="114"/>
      <c r="M124" s="114"/>
      <c r="N124" s="114"/>
      <c r="O124" s="114"/>
      <c r="P124" s="114"/>
      <c r="Q124" s="1"/>
      <c r="R124" s="1"/>
      <c r="S124" s="1"/>
      <c r="T124" s="1"/>
      <c r="U124" s="1"/>
      <c r="V124" s="1"/>
      <c r="W124" s="1"/>
      <c r="X124" s="1"/>
      <c r="Y124" s="1"/>
    </row>
    <row r="125" spans="1:25" ht="12" customHeight="1">
      <c r="A125" s="114"/>
      <c r="B125" s="114"/>
      <c r="C125" s="114"/>
      <c r="D125" s="114"/>
      <c r="E125" s="114"/>
      <c r="F125" s="114"/>
      <c r="G125" s="114"/>
      <c r="H125" s="114"/>
      <c r="I125" s="114"/>
      <c r="J125" s="114"/>
      <c r="K125" s="114"/>
      <c r="L125" s="114"/>
      <c r="M125" s="114"/>
      <c r="N125" s="114"/>
      <c r="O125" s="114"/>
      <c r="P125" s="114"/>
      <c r="Q125" s="1"/>
      <c r="R125" s="1"/>
      <c r="S125" s="1"/>
      <c r="T125" s="1"/>
      <c r="U125" s="1"/>
      <c r="V125" s="1"/>
      <c r="W125" s="1"/>
      <c r="X125" s="1"/>
      <c r="Y125" s="1"/>
    </row>
    <row r="126" spans="1:25" ht="12" customHeight="1">
      <c r="A126" s="114"/>
      <c r="B126" s="114"/>
      <c r="C126" s="114"/>
      <c r="D126" s="114"/>
      <c r="E126" s="114"/>
      <c r="F126" s="114"/>
      <c r="G126" s="114"/>
      <c r="H126" s="114"/>
      <c r="I126" s="114"/>
      <c r="J126" s="114"/>
      <c r="K126" s="114"/>
      <c r="L126" s="114"/>
      <c r="M126" s="114"/>
      <c r="N126" s="114"/>
      <c r="O126" s="114"/>
      <c r="P126" s="114"/>
      <c r="Q126" s="1"/>
      <c r="R126" s="1"/>
      <c r="S126" s="1"/>
      <c r="T126" s="1"/>
      <c r="U126" s="1"/>
      <c r="V126" s="1"/>
      <c r="W126" s="1"/>
      <c r="X126" s="1"/>
      <c r="Y126" s="1"/>
    </row>
    <row r="127" spans="1:25" ht="12" customHeight="1">
      <c r="A127" s="114"/>
      <c r="B127" s="114"/>
      <c r="C127" s="114"/>
      <c r="D127" s="114"/>
      <c r="E127" s="114"/>
      <c r="F127" s="114"/>
      <c r="G127" s="114"/>
      <c r="H127" s="114"/>
      <c r="I127" s="114"/>
      <c r="J127" s="114"/>
      <c r="K127" s="114"/>
      <c r="L127" s="114"/>
      <c r="M127" s="114"/>
      <c r="N127" s="114"/>
      <c r="O127" s="114"/>
      <c r="P127" s="114"/>
      <c r="Q127" s="1"/>
      <c r="R127" s="1"/>
      <c r="S127" s="1"/>
      <c r="T127" s="1"/>
      <c r="U127" s="1"/>
      <c r="V127" s="1"/>
      <c r="W127" s="1"/>
      <c r="X127" s="1"/>
      <c r="Y127" s="1"/>
    </row>
    <row r="128" spans="1:25" ht="12" customHeight="1">
      <c r="A128" s="114"/>
      <c r="B128" s="114"/>
      <c r="C128" s="114"/>
      <c r="D128" s="114"/>
      <c r="E128" s="114"/>
      <c r="F128" s="114"/>
      <c r="G128" s="114"/>
      <c r="H128" s="114"/>
      <c r="I128" s="114"/>
      <c r="J128" s="114"/>
      <c r="K128" s="114"/>
      <c r="L128" s="114"/>
      <c r="M128" s="114"/>
      <c r="N128" s="114"/>
      <c r="O128" s="114"/>
      <c r="P128" s="114"/>
      <c r="Q128" s="1"/>
      <c r="R128" s="1"/>
      <c r="S128" s="1"/>
      <c r="T128" s="1"/>
      <c r="U128" s="1"/>
      <c r="V128" s="1"/>
      <c r="W128" s="1"/>
      <c r="X128" s="1"/>
      <c r="Y128" s="1"/>
    </row>
    <row r="129" spans="1:25" ht="12" customHeight="1">
      <c r="A129" s="114"/>
      <c r="B129" s="114"/>
      <c r="C129" s="114"/>
      <c r="D129" s="114"/>
      <c r="E129" s="114"/>
      <c r="F129" s="114"/>
      <c r="G129" s="114"/>
      <c r="H129" s="114"/>
      <c r="I129" s="114"/>
      <c r="J129" s="114"/>
      <c r="K129" s="114"/>
      <c r="L129" s="114"/>
      <c r="M129" s="114"/>
      <c r="N129" s="114"/>
      <c r="O129" s="114"/>
      <c r="P129" s="114"/>
      <c r="Q129" s="1"/>
      <c r="R129" s="1"/>
      <c r="S129" s="1"/>
      <c r="T129" s="1"/>
      <c r="U129" s="1"/>
      <c r="V129" s="1"/>
      <c r="W129" s="1"/>
      <c r="X129" s="1"/>
      <c r="Y129" s="1"/>
    </row>
    <row r="130" spans="1:25" ht="12" customHeight="1">
      <c r="A130" s="114"/>
      <c r="B130" s="114"/>
      <c r="C130" s="114"/>
      <c r="D130" s="114"/>
      <c r="E130" s="114"/>
      <c r="F130" s="114"/>
      <c r="G130" s="114"/>
      <c r="H130" s="114"/>
      <c r="I130" s="114"/>
      <c r="J130" s="114"/>
      <c r="K130" s="114"/>
      <c r="L130" s="114"/>
      <c r="M130" s="114"/>
      <c r="N130" s="114"/>
      <c r="O130" s="114"/>
      <c r="P130" s="114"/>
      <c r="Q130" s="1"/>
      <c r="R130" s="1"/>
      <c r="S130" s="1"/>
      <c r="T130" s="1"/>
      <c r="U130" s="1"/>
      <c r="V130" s="1"/>
      <c r="W130" s="1"/>
      <c r="X130" s="1"/>
      <c r="Y130" s="1"/>
    </row>
    <row r="131" spans="1:25" ht="12" customHeight="1">
      <c r="A131" s="114"/>
      <c r="B131" s="114"/>
      <c r="C131" s="114"/>
      <c r="D131" s="114"/>
      <c r="E131" s="114"/>
      <c r="F131" s="114"/>
      <c r="G131" s="114"/>
      <c r="H131" s="114"/>
      <c r="I131" s="114"/>
      <c r="J131" s="114"/>
      <c r="K131" s="114"/>
      <c r="L131" s="114"/>
      <c r="M131" s="114"/>
      <c r="N131" s="114"/>
      <c r="O131" s="114"/>
      <c r="P131" s="114"/>
      <c r="Q131" s="1"/>
      <c r="R131" s="1"/>
      <c r="S131" s="1"/>
      <c r="T131" s="1"/>
      <c r="U131" s="1"/>
      <c r="V131" s="1"/>
      <c r="W131" s="1"/>
      <c r="X131" s="1"/>
      <c r="Y131" s="1"/>
    </row>
    <row r="132" spans="1:25" ht="12" customHeight="1">
      <c r="A132" s="114"/>
      <c r="B132" s="114"/>
      <c r="C132" s="114"/>
      <c r="D132" s="114"/>
      <c r="E132" s="114"/>
      <c r="F132" s="114"/>
      <c r="G132" s="114"/>
      <c r="H132" s="114"/>
      <c r="I132" s="114"/>
      <c r="J132" s="114"/>
      <c r="K132" s="114"/>
      <c r="L132" s="114"/>
      <c r="M132" s="114"/>
      <c r="N132" s="114"/>
      <c r="O132" s="114"/>
      <c r="P132" s="114"/>
      <c r="Q132" s="1"/>
      <c r="R132" s="1"/>
      <c r="S132" s="1"/>
      <c r="T132" s="1"/>
      <c r="U132" s="1"/>
      <c r="V132" s="1"/>
      <c r="W132" s="1"/>
      <c r="X132" s="1"/>
      <c r="Y132" s="1"/>
    </row>
    <row r="133" spans="1:25" ht="12" customHeight="1">
      <c r="A133" s="114"/>
      <c r="B133" s="114"/>
      <c r="C133" s="114"/>
      <c r="D133" s="114"/>
      <c r="E133" s="114"/>
      <c r="F133" s="114"/>
      <c r="G133" s="114"/>
      <c r="H133" s="114"/>
      <c r="I133" s="114"/>
      <c r="J133" s="114"/>
      <c r="K133" s="114"/>
      <c r="L133" s="114"/>
      <c r="M133" s="114"/>
      <c r="N133" s="114"/>
      <c r="O133" s="114"/>
      <c r="P133" s="114"/>
      <c r="Q133" s="1"/>
      <c r="R133" s="1"/>
      <c r="S133" s="1"/>
      <c r="T133" s="1"/>
      <c r="U133" s="1"/>
      <c r="V133" s="1"/>
      <c r="W133" s="1"/>
      <c r="X133" s="1"/>
      <c r="Y133" s="1"/>
    </row>
    <row r="134" spans="1:25" ht="12" customHeight="1">
      <c r="A134" s="114"/>
      <c r="B134" s="114"/>
      <c r="C134" s="114"/>
      <c r="D134" s="114"/>
      <c r="E134" s="114"/>
      <c r="F134" s="114"/>
      <c r="G134" s="114"/>
      <c r="H134" s="114"/>
      <c r="I134" s="114"/>
      <c r="J134" s="114"/>
      <c r="K134" s="114"/>
      <c r="L134" s="114"/>
      <c r="M134" s="114"/>
      <c r="N134" s="114"/>
      <c r="O134" s="114"/>
      <c r="P134" s="114"/>
      <c r="Q134" s="1"/>
      <c r="R134" s="1"/>
      <c r="S134" s="1"/>
      <c r="T134" s="1"/>
      <c r="U134" s="1"/>
      <c r="V134" s="1"/>
      <c r="W134" s="1"/>
      <c r="X134" s="1"/>
      <c r="Y134" s="1"/>
    </row>
    <row r="135" spans="1:25" ht="12" customHeight="1">
      <c r="A135" s="114"/>
      <c r="B135" s="114"/>
      <c r="C135" s="114"/>
      <c r="D135" s="114"/>
      <c r="E135" s="114"/>
      <c r="F135" s="114"/>
      <c r="G135" s="114"/>
      <c r="H135" s="114"/>
      <c r="I135" s="114"/>
      <c r="J135" s="114"/>
      <c r="K135" s="114"/>
      <c r="L135" s="114"/>
      <c r="M135" s="114"/>
      <c r="N135" s="114"/>
      <c r="O135" s="114"/>
      <c r="P135" s="114"/>
      <c r="Q135" s="1"/>
      <c r="R135" s="1"/>
      <c r="S135" s="1"/>
      <c r="T135" s="1"/>
      <c r="U135" s="1"/>
      <c r="V135" s="1"/>
      <c r="W135" s="1"/>
      <c r="X135" s="1"/>
      <c r="Y135" s="1"/>
    </row>
    <row r="136" spans="1:25" ht="12" customHeight="1">
      <c r="A136" s="114"/>
      <c r="B136" s="114"/>
      <c r="C136" s="114"/>
      <c r="D136" s="114"/>
      <c r="E136" s="114"/>
      <c r="F136" s="114"/>
      <c r="G136" s="114"/>
      <c r="H136" s="114"/>
      <c r="I136" s="114"/>
      <c r="J136" s="114"/>
      <c r="K136" s="114"/>
      <c r="L136" s="114"/>
      <c r="M136" s="114"/>
      <c r="N136" s="114"/>
      <c r="O136" s="114"/>
      <c r="P136" s="114"/>
      <c r="Q136" s="1"/>
      <c r="R136" s="1"/>
      <c r="S136" s="1"/>
      <c r="T136" s="1"/>
      <c r="U136" s="1"/>
      <c r="V136" s="1"/>
      <c r="W136" s="1"/>
      <c r="X136" s="1"/>
      <c r="Y136" s="1"/>
    </row>
    <row r="137" spans="1:25" ht="12" customHeight="1">
      <c r="A137" s="114"/>
      <c r="B137" s="114"/>
      <c r="C137" s="114"/>
      <c r="D137" s="114"/>
      <c r="E137" s="114"/>
      <c r="F137" s="114"/>
      <c r="G137" s="114"/>
      <c r="H137" s="114"/>
      <c r="I137" s="114"/>
      <c r="J137" s="114"/>
      <c r="K137" s="114"/>
      <c r="L137" s="114"/>
      <c r="M137" s="114"/>
      <c r="N137" s="114"/>
      <c r="O137" s="114"/>
      <c r="P137" s="114"/>
      <c r="Q137" s="1"/>
      <c r="R137" s="1"/>
      <c r="S137" s="1"/>
      <c r="T137" s="1"/>
      <c r="U137" s="1"/>
      <c r="V137" s="1"/>
      <c r="W137" s="1"/>
      <c r="X137" s="1"/>
      <c r="Y137" s="1"/>
    </row>
    <row r="138" spans="1:25" ht="12" customHeight="1">
      <c r="A138" s="114"/>
      <c r="B138" s="114"/>
      <c r="C138" s="114"/>
      <c r="D138" s="114"/>
      <c r="E138" s="114"/>
      <c r="F138" s="114"/>
      <c r="G138" s="114"/>
      <c r="H138" s="114"/>
      <c r="I138" s="114"/>
      <c r="J138" s="114"/>
      <c r="K138" s="114"/>
      <c r="L138" s="114"/>
      <c r="M138" s="114"/>
      <c r="N138" s="114"/>
      <c r="O138" s="114"/>
      <c r="P138" s="114"/>
      <c r="Q138" s="1"/>
      <c r="R138" s="1"/>
      <c r="S138" s="1"/>
      <c r="T138" s="1"/>
      <c r="U138" s="1"/>
      <c r="V138" s="1"/>
      <c r="W138" s="1"/>
      <c r="X138" s="1"/>
      <c r="Y138" s="1"/>
    </row>
    <row r="139" spans="1:25" ht="12" customHeight="1">
      <c r="A139" s="114"/>
      <c r="B139" s="114"/>
      <c r="C139" s="114"/>
      <c r="D139" s="114"/>
      <c r="E139" s="114"/>
      <c r="F139" s="114"/>
      <c r="G139" s="114"/>
      <c r="H139" s="114"/>
      <c r="I139" s="114"/>
      <c r="J139" s="114"/>
      <c r="K139" s="114"/>
      <c r="L139" s="114"/>
      <c r="M139" s="114"/>
      <c r="N139" s="114"/>
      <c r="O139" s="114"/>
      <c r="P139" s="114"/>
      <c r="Q139" s="1"/>
      <c r="R139" s="1"/>
      <c r="S139" s="1"/>
      <c r="T139" s="1"/>
      <c r="U139" s="1"/>
      <c r="V139" s="1"/>
      <c r="W139" s="1"/>
      <c r="X139" s="1"/>
      <c r="Y139" s="1"/>
    </row>
    <row r="140" spans="1:25" ht="12" customHeight="1">
      <c r="A140" s="114"/>
      <c r="B140" s="114"/>
      <c r="C140" s="114"/>
      <c r="D140" s="114"/>
      <c r="E140" s="114"/>
      <c r="F140" s="114"/>
      <c r="G140" s="114"/>
      <c r="H140" s="114"/>
      <c r="I140" s="114"/>
      <c r="J140" s="114"/>
      <c r="K140" s="114"/>
      <c r="L140" s="114"/>
      <c r="M140" s="114"/>
      <c r="N140" s="114"/>
      <c r="O140" s="114"/>
      <c r="P140" s="114"/>
      <c r="Q140" s="1"/>
      <c r="R140" s="1"/>
      <c r="S140" s="1"/>
      <c r="T140" s="1"/>
      <c r="U140" s="1"/>
      <c r="V140" s="1"/>
      <c r="W140" s="1"/>
      <c r="X140" s="1"/>
      <c r="Y140" s="1"/>
    </row>
    <row r="141" spans="1:25" ht="12" customHeight="1">
      <c r="A141" s="114"/>
      <c r="B141" s="114"/>
      <c r="C141" s="114"/>
      <c r="D141" s="114"/>
      <c r="E141" s="114"/>
      <c r="F141" s="114"/>
      <c r="G141" s="114"/>
      <c r="H141" s="114"/>
      <c r="I141" s="114"/>
      <c r="J141" s="114"/>
      <c r="K141" s="114"/>
      <c r="L141" s="114"/>
      <c r="M141" s="114"/>
      <c r="N141" s="114"/>
      <c r="O141" s="114"/>
      <c r="P141" s="114"/>
      <c r="Q141" s="1"/>
      <c r="R141" s="1"/>
      <c r="S141" s="1"/>
      <c r="T141" s="1"/>
      <c r="U141" s="1"/>
      <c r="V141" s="1"/>
      <c r="W141" s="1"/>
      <c r="X141" s="1"/>
      <c r="Y141" s="1"/>
    </row>
    <row r="142" spans="1:25" ht="12" customHeight="1">
      <c r="A142" s="114"/>
      <c r="B142" s="114"/>
      <c r="C142" s="114"/>
      <c r="D142" s="114"/>
      <c r="E142" s="114"/>
      <c r="F142" s="114"/>
      <c r="G142" s="114"/>
      <c r="H142" s="114"/>
      <c r="I142" s="114"/>
      <c r="J142" s="114"/>
      <c r="K142" s="114"/>
      <c r="L142" s="114"/>
      <c r="M142" s="114"/>
      <c r="N142" s="114"/>
      <c r="O142" s="114"/>
      <c r="P142" s="114"/>
      <c r="Q142" s="1"/>
      <c r="R142" s="1"/>
      <c r="S142" s="1"/>
      <c r="T142" s="1"/>
      <c r="U142" s="1"/>
      <c r="V142" s="1"/>
      <c r="W142" s="1"/>
      <c r="X142" s="1"/>
      <c r="Y142" s="1"/>
    </row>
    <row r="143" spans="1:25" ht="12" customHeight="1">
      <c r="A143" s="114"/>
      <c r="B143" s="114"/>
      <c r="C143" s="114"/>
      <c r="D143" s="114"/>
      <c r="E143" s="114"/>
      <c r="F143" s="114"/>
      <c r="G143" s="114"/>
      <c r="H143" s="114"/>
      <c r="I143" s="114"/>
      <c r="J143" s="114"/>
      <c r="K143" s="114"/>
      <c r="L143" s="114"/>
      <c r="M143" s="114"/>
      <c r="N143" s="114"/>
      <c r="O143" s="114"/>
      <c r="P143" s="114"/>
      <c r="Q143" s="1"/>
      <c r="R143" s="1"/>
      <c r="S143" s="1"/>
      <c r="T143" s="1"/>
      <c r="U143" s="1"/>
      <c r="V143" s="1"/>
      <c r="W143" s="1"/>
      <c r="X143" s="1"/>
      <c r="Y143" s="1"/>
    </row>
    <row r="144" spans="1:25" ht="12" customHeight="1">
      <c r="A144" s="114"/>
      <c r="B144" s="114"/>
      <c r="C144" s="114"/>
      <c r="D144" s="114"/>
      <c r="E144" s="114"/>
      <c r="F144" s="114"/>
      <c r="G144" s="114"/>
      <c r="H144" s="114"/>
      <c r="I144" s="114"/>
      <c r="J144" s="114"/>
      <c r="K144" s="114"/>
      <c r="L144" s="114"/>
      <c r="M144" s="114"/>
      <c r="N144" s="114"/>
      <c r="O144" s="114"/>
      <c r="P144" s="114"/>
      <c r="Q144" s="1"/>
      <c r="R144" s="1"/>
      <c r="S144" s="1"/>
      <c r="T144" s="1"/>
      <c r="U144" s="1"/>
      <c r="V144" s="1"/>
      <c r="W144" s="1"/>
      <c r="X144" s="1"/>
      <c r="Y144" s="1"/>
    </row>
    <row r="145" spans="1:25" ht="12" customHeight="1">
      <c r="A145" s="114"/>
      <c r="B145" s="114"/>
      <c r="C145" s="114"/>
      <c r="D145" s="114"/>
      <c r="E145" s="114"/>
      <c r="F145" s="114"/>
      <c r="G145" s="114"/>
      <c r="H145" s="114"/>
      <c r="I145" s="114"/>
      <c r="J145" s="114"/>
      <c r="K145" s="114"/>
      <c r="L145" s="114"/>
      <c r="M145" s="114"/>
      <c r="N145" s="114"/>
      <c r="O145" s="114"/>
      <c r="P145" s="114"/>
      <c r="Q145" s="1"/>
      <c r="R145" s="1"/>
      <c r="S145" s="1"/>
      <c r="T145" s="1"/>
      <c r="U145" s="1"/>
      <c r="V145" s="1"/>
      <c r="W145" s="1"/>
      <c r="X145" s="1"/>
      <c r="Y145" s="1"/>
    </row>
    <row r="146" spans="1:25" ht="12" customHeight="1">
      <c r="A146" s="114"/>
      <c r="B146" s="114"/>
      <c r="C146" s="114"/>
      <c r="D146" s="114"/>
      <c r="E146" s="114"/>
      <c r="F146" s="114"/>
      <c r="G146" s="114"/>
      <c r="H146" s="114"/>
      <c r="I146" s="114"/>
      <c r="J146" s="114"/>
      <c r="K146" s="114"/>
      <c r="L146" s="114"/>
      <c r="M146" s="114"/>
      <c r="N146" s="114"/>
      <c r="O146" s="114"/>
      <c r="P146" s="114"/>
      <c r="Q146" s="1"/>
      <c r="R146" s="1"/>
      <c r="S146" s="1"/>
      <c r="T146" s="1"/>
      <c r="U146" s="1"/>
      <c r="V146" s="1"/>
      <c r="W146" s="1"/>
      <c r="X146" s="1"/>
      <c r="Y146" s="1"/>
    </row>
    <row r="147" spans="1:25" ht="12" customHeight="1">
      <c r="A147" s="114"/>
      <c r="B147" s="114"/>
      <c r="C147" s="114"/>
      <c r="D147" s="114"/>
      <c r="E147" s="114"/>
      <c r="F147" s="114"/>
      <c r="G147" s="114"/>
      <c r="H147" s="114"/>
      <c r="I147" s="114"/>
      <c r="J147" s="114"/>
      <c r="K147" s="114"/>
      <c r="L147" s="114"/>
      <c r="M147" s="114"/>
      <c r="N147" s="114"/>
      <c r="O147" s="114"/>
      <c r="P147" s="114"/>
      <c r="Q147" s="1"/>
      <c r="R147" s="1"/>
      <c r="S147" s="1"/>
      <c r="T147" s="1"/>
      <c r="U147" s="1"/>
      <c r="V147" s="1"/>
      <c r="W147" s="1"/>
      <c r="X147" s="1"/>
      <c r="Y147" s="1"/>
    </row>
    <row r="148" spans="1:25" ht="12" customHeight="1">
      <c r="A148" s="114"/>
      <c r="B148" s="114"/>
      <c r="C148" s="114"/>
      <c r="D148" s="114"/>
      <c r="E148" s="114"/>
      <c r="F148" s="114"/>
      <c r="G148" s="114"/>
      <c r="H148" s="114"/>
      <c r="I148" s="114"/>
      <c r="J148" s="114"/>
      <c r="K148" s="114"/>
      <c r="L148" s="114"/>
      <c r="M148" s="114"/>
      <c r="N148" s="114"/>
      <c r="O148" s="114"/>
      <c r="P148" s="114"/>
      <c r="Q148" s="1"/>
      <c r="R148" s="1"/>
      <c r="S148" s="1"/>
      <c r="T148" s="1"/>
      <c r="U148" s="1"/>
      <c r="V148" s="1"/>
      <c r="W148" s="1"/>
      <c r="X148" s="1"/>
      <c r="Y148" s="1"/>
    </row>
    <row r="149" spans="1:25" ht="12" customHeight="1">
      <c r="A149" s="114"/>
      <c r="B149" s="114"/>
      <c r="C149" s="114"/>
      <c r="D149" s="114"/>
      <c r="E149" s="114"/>
      <c r="F149" s="114"/>
      <c r="G149" s="114"/>
      <c r="H149" s="114"/>
      <c r="I149" s="114"/>
      <c r="J149" s="114"/>
      <c r="K149" s="114"/>
      <c r="L149" s="114"/>
      <c r="M149" s="114"/>
      <c r="N149" s="114"/>
      <c r="O149" s="114"/>
      <c r="P149" s="114"/>
      <c r="Q149" s="1"/>
      <c r="R149" s="1"/>
      <c r="S149" s="1"/>
      <c r="T149" s="1"/>
      <c r="U149" s="1"/>
      <c r="V149" s="1"/>
      <c r="W149" s="1"/>
      <c r="X149" s="1"/>
      <c r="Y149" s="1"/>
    </row>
    <row r="150" spans="1:25" ht="12" customHeight="1">
      <c r="A150" s="114"/>
      <c r="B150" s="114"/>
      <c r="C150" s="114"/>
      <c r="D150" s="114"/>
      <c r="E150" s="114"/>
      <c r="F150" s="114"/>
      <c r="G150" s="114"/>
      <c r="H150" s="114"/>
      <c r="I150" s="114"/>
      <c r="J150" s="114"/>
      <c r="K150" s="114"/>
      <c r="L150" s="114"/>
      <c r="M150" s="114"/>
      <c r="N150" s="114"/>
      <c r="O150" s="114"/>
      <c r="P150" s="114"/>
      <c r="Q150" s="1"/>
      <c r="R150" s="1"/>
      <c r="S150" s="1"/>
      <c r="T150" s="1"/>
      <c r="U150" s="1"/>
      <c r="V150" s="1"/>
      <c r="W150" s="1"/>
      <c r="X150" s="1"/>
      <c r="Y150" s="1"/>
    </row>
    <row r="151" spans="1:25" ht="12" customHeight="1">
      <c r="A151" s="114"/>
      <c r="B151" s="114"/>
      <c r="C151" s="114"/>
      <c r="D151" s="114"/>
      <c r="E151" s="114"/>
      <c r="F151" s="114"/>
      <c r="G151" s="114"/>
      <c r="H151" s="114"/>
      <c r="I151" s="114"/>
      <c r="J151" s="114"/>
      <c r="K151" s="114"/>
      <c r="L151" s="114"/>
      <c r="M151" s="114"/>
      <c r="N151" s="114"/>
      <c r="O151" s="114"/>
      <c r="P151" s="114"/>
      <c r="Q151" s="1"/>
      <c r="R151" s="1"/>
      <c r="S151" s="1"/>
      <c r="T151" s="1"/>
      <c r="U151" s="1"/>
      <c r="V151" s="1"/>
      <c r="W151" s="1"/>
      <c r="X151" s="1"/>
      <c r="Y151" s="1"/>
    </row>
    <row r="152" spans="1:25" ht="12" customHeight="1">
      <c r="A152" s="114"/>
      <c r="B152" s="114"/>
      <c r="C152" s="114"/>
      <c r="D152" s="114"/>
      <c r="E152" s="114"/>
      <c r="F152" s="114"/>
      <c r="G152" s="114"/>
      <c r="H152" s="114"/>
      <c r="I152" s="114"/>
      <c r="J152" s="114"/>
      <c r="K152" s="114"/>
      <c r="L152" s="114"/>
      <c r="M152" s="114"/>
      <c r="N152" s="114"/>
      <c r="O152" s="114"/>
      <c r="P152" s="114"/>
      <c r="Q152" s="1"/>
      <c r="R152" s="1"/>
      <c r="S152" s="1"/>
      <c r="T152" s="1"/>
      <c r="U152" s="1"/>
      <c r="V152" s="1"/>
      <c r="W152" s="1"/>
      <c r="X152" s="1"/>
      <c r="Y152" s="1"/>
    </row>
    <row r="153" spans="1:25" ht="12" customHeight="1">
      <c r="A153" s="114"/>
      <c r="B153" s="114"/>
      <c r="C153" s="114"/>
      <c r="D153" s="114"/>
      <c r="E153" s="114"/>
      <c r="F153" s="114"/>
      <c r="G153" s="114"/>
      <c r="H153" s="114"/>
      <c r="I153" s="114"/>
      <c r="J153" s="114"/>
      <c r="K153" s="114"/>
      <c r="L153" s="114"/>
      <c r="M153" s="114"/>
      <c r="N153" s="114"/>
      <c r="O153" s="114"/>
      <c r="P153" s="114"/>
      <c r="Q153" s="1"/>
      <c r="R153" s="1"/>
      <c r="S153" s="1"/>
      <c r="T153" s="1"/>
      <c r="U153" s="1"/>
      <c r="V153" s="1"/>
      <c r="W153" s="1"/>
      <c r="X153" s="1"/>
      <c r="Y153" s="1"/>
    </row>
    <row r="154" spans="1:25" ht="12" customHeight="1">
      <c r="A154" s="114"/>
      <c r="B154" s="114"/>
      <c r="C154" s="114"/>
      <c r="D154" s="114"/>
      <c r="E154" s="114"/>
      <c r="F154" s="114"/>
      <c r="G154" s="114"/>
      <c r="H154" s="114"/>
      <c r="I154" s="114"/>
      <c r="J154" s="114"/>
      <c r="K154" s="114"/>
      <c r="L154" s="114"/>
      <c r="M154" s="114"/>
      <c r="N154" s="114"/>
      <c r="O154" s="114"/>
      <c r="P154" s="114"/>
      <c r="Q154" s="1"/>
      <c r="R154" s="1"/>
      <c r="S154" s="1"/>
      <c r="T154" s="1"/>
      <c r="U154" s="1"/>
      <c r="V154" s="1"/>
      <c r="W154" s="1"/>
      <c r="X154" s="1"/>
      <c r="Y154" s="1"/>
    </row>
    <row r="155" spans="1:25" ht="12" customHeight="1">
      <c r="A155" s="114"/>
      <c r="B155" s="114"/>
      <c r="C155" s="114"/>
      <c r="D155" s="114"/>
      <c r="E155" s="114"/>
      <c r="F155" s="114"/>
      <c r="G155" s="114"/>
      <c r="H155" s="114"/>
      <c r="I155" s="114"/>
      <c r="J155" s="114"/>
      <c r="K155" s="114"/>
      <c r="L155" s="114"/>
      <c r="M155" s="114"/>
      <c r="N155" s="114"/>
      <c r="O155" s="114"/>
      <c r="P155" s="114"/>
      <c r="Q155" s="1"/>
      <c r="R155" s="1"/>
      <c r="S155" s="1"/>
      <c r="T155" s="1"/>
      <c r="U155" s="1"/>
      <c r="V155" s="1"/>
      <c r="W155" s="1"/>
      <c r="X155" s="1"/>
      <c r="Y155" s="1"/>
    </row>
    <row r="156" spans="1:25" ht="12" customHeight="1">
      <c r="A156" s="114"/>
      <c r="B156" s="114"/>
      <c r="C156" s="114"/>
      <c r="D156" s="114"/>
      <c r="E156" s="114"/>
      <c r="F156" s="114"/>
      <c r="G156" s="114"/>
      <c r="H156" s="114"/>
      <c r="I156" s="114"/>
      <c r="J156" s="114"/>
      <c r="K156" s="114"/>
      <c r="L156" s="114"/>
      <c r="M156" s="114"/>
      <c r="N156" s="114"/>
      <c r="O156" s="114"/>
      <c r="P156" s="114"/>
      <c r="Q156" s="1"/>
      <c r="R156" s="1"/>
      <c r="S156" s="1"/>
      <c r="T156" s="1"/>
      <c r="U156" s="1"/>
      <c r="V156" s="1"/>
      <c r="W156" s="1"/>
      <c r="X156" s="1"/>
      <c r="Y156" s="1"/>
    </row>
    <row r="157" spans="1:25" ht="12" customHeight="1">
      <c r="A157" s="114"/>
      <c r="B157" s="114"/>
      <c r="C157" s="114"/>
      <c r="D157" s="114"/>
      <c r="E157" s="114"/>
      <c r="F157" s="114"/>
      <c r="G157" s="114"/>
      <c r="H157" s="114"/>
      <c r="I157" s="114"/>
      <c r="J157" s="114"/>
      <c r="K157" s="114"/>
      <c r="L157" s="114"/>
      <c r="M157" s="114"/>
      <c r="N157" s="114"/>
      <c r="O157" s="114"/>
      <c r="P157" s="114"/>
      <c r="Q157" s="1"/>
      <c r="R157" s="1"/>
      <c r="S157" s="1"/>
      <c r="T157" s="1"/>
      <c r="U157" s="1"/>
      <c r="V157" s="1"/>
      <c r="W157" s="1"/>
      <c r="X157" s="1"/>
      <c r="Y157" s="1"/>
    </row>
    <row r="158" spans="1:25" ht="12" customHeight="1">
      <c r="A158" s="114"/>
      <c r="B158" s="114"/>
      <c r="C158" s="114"/>
      <c r="D158" s="114"/>
      <c r="E158" s="114"/>
      <c r="F158" s="114"/>
      <c r="G158" s="114"/>
      <c r="H158" s="114"/>
      <c r="I158" s="114"/>
      <c r="J158" s="114"/>
      <c r="K158" s="114"/>
      <c r="L158" s="114"/>
      <c r="M158" s="114"/>
      <c r="N158" s="114"/>
      <c r="O158" s="114"/>
      <c r="P158" s="114"/>
      <c r="Q158" s="1"/>
      <c r="R158" s="1"/>
      <c r="S158" s="1"/>
      <c r="T158" s="1"/>
      <c r="U158" s="1"/>
      <c r="V158" s="1"/>
      <c r="W158" s="1"/>
      <c r="X158" s="1"/>
      <c r="Y158" s="1"/>
    </row>
    <row r="159" spans="1:25" ht="12" customHeight="1">
      <c r="A159" s="114"/>
      <c r="B159" s="114"/>
      <c r="C159" s="114"/>
      <c r="D159" s="114"/>
      <c r="E159" s="114"/>
      <c r="F159" s="114"/>
      <c r="G159" s="114"/>
      <c r="H159" s="114"/>
      <c r="I159" s="114"/>
      <c r="J159" s="114"/>
      <c r="K159" s="114"/>
      <c r="L159" s="114"/>
      <c r="M159" s="114"/>
      <c r="N159" s="114"/>
      <c r="O159" s="114"/>
      <c r="P159" s="114"/>
      <c r="Q159" s="1"/>
      <c r="R159" s="1"/>
      <c r="S159" s="1"/>
      <c r="T159" s="1"/>
      <c r="U159" s="1"/>
      <c r="V159" s="1"/>
      <c r="W159" s="1"/>
      <c r="X159" s="1"/>
      <c r="Y159" s="1"/>
    </row>
    <row r="160" spans="1:25" ht="12" customHeight="1">
      <c r="A160" s="114"/>
      <c r="B160" s="114"/>
      <c r="C160" s="114"/>
      <c r="D160" s="114"/>
      <c r="E160" s="114"/>
      <c r="F160" s="114"/>
      <c r="G160" s="114"/>
      <c r="H160" s="114"/>
      <c r="I160" s="114"/>
      <c r="J160" s="114"/>
      <c r="K160" s="114"/>
      <c r="L160" s="114"/>
      <c r="M160" s="114"/>
      <c r="N160" s="114"/>
      <c r="O160" s="114"/>
      <c r="P160" s="114"/>
      <c r="Q160" s="1"/>
      <c r="R160" s="1"/>
      <c r="S160" s="1"/>
      <c r="T160" s="1"/>
      <c r="U160" s="1"/>
      <c r="V160" s="1"/>
      <c r="W160" s="1"/>
      <c r="X160" s="1"/>
      <c r="Y160" s="1"/>
    </row>
    <row r="161" spans="1:25" ht="12" customHeight="1">
      <c r="A161" s="114"/>
      <c r="B161" s="114"/>
      <c r="C161" s="114"/>
      <c r="D161" s="114"/>
      <c r="E161" s="114"/>
      <c r="F161" s="114"/>
      <c r="G161" s="114"/>
      <c r="H161" s="114"/>
      <c r="I161" s="114"/>
      <c r="J161" s="114"/>
      <c r="K161" s="114"/>
      <c r="L161" s="114"/>
      <c r="M161" s="114"/>
      <c r="N161" s="114"/>
      <c r="O161" s="114"/>
      <c r="P161" s="114"/>
      <c r="Q161" s="1"/>
      <c r="R161" s="1"/>
      <c r="S161" s="1"/>
      <c r="T161" s="1"/>
      <c r="U161" s="1"/>
      <c r="V161" s="1"/>
      <c r="W161" s="1"/>
      <c r="X161" s="1"/>
      <c r="Y161" s="1"/>
    </row>
    <row r="162" spans="1:25" ht="12" customHeight="1">
      <c r="A162" s="114"/>
      <c r="B162" s="114"/>
      <c r="C162" s="114"/>
      <c r="D162" s="114"/>
      <c r="E162" s="114"/>
      <c r="F162" s="114"/>
      <c r="G162" s="114"/>
      <c r="H162" s="114"/>
      <c r="I162" s="114"/>
      <c r="J162" s="114"/>
      <c r="K162" s="114"/>
      <c r="L162" s="114"/>
      <c r="M162" s="114"/>
      <c r="N162" s="114"/>
      <c r="O162" s="114"/>
      <c r="P162" s="114"/>
      <c r="Q162" s="1"/>
      <c r="R162" s="1"/>
      <c r="S162" s="1"/>
      <c r="T162" s="1"/>
      <c r="U162" s="1"/>
      <c r="V162" s="1"/>
      <c r="W162" s="1"/>
      <c r="X162" s="1"/>
      <c r="Y162" s="1"/>
    </row>
    <row r="163" spans="1:25" ht="12" customHeight="1">
      <c r="A163" s="114"/>
      <c r="B163" s="114"/>
      <c r="C163" s="114"/>
      <c r="D163" s="114"/>
      <c r="E163" s="114"/>
      <c r="F163" s="114"/>
      <c r="G163" s="114"/>
      <c r="H163" s="114"/>
      <c r="I163" s="114"/>
      <c r="J163" s="114"/>
      <c r="K163" s="114"/>
      <c r="L163" s="114"/>
      <c r="M163" s="114"/>
      <c r="N163" s="114"/>
      <c r="O163" s="114"/>
      <c r="P163" s="114"/>
      <c r="Q163" s="1"/>
      <c r="R163" s="1"/>
      <c r="S163" s="1"/>
      <c r="T163" s="1"/>
      <c r="U163" s="1"/>
      <c r="V163" s="1"/>
      <c r="W163" s="1"/>
      <c r="X163" s="1"/>
      <c r="Y163" s="1"/>
    </row>
    <row r="164" spans="1:25"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sheetData>
  <autoFilter ref="A3:P69" xr:uid="{4E77700B-8E0D-A74F-8D06-AC3E75FE6A9C}"/>
  <mergeCells count="1">
    <mergeCell ref="A53:H53"/>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XFD1001"/>
  <sheetViews>
    <sheetView showGridLines="0" topLeftCell="C19" zoomScale="117" zoomScaleNormal="60" workbookViewId="0">
      <selection activeCell="E47" sqref="E47"/>
    </sheetView>
  </sheetViews>
  <sheetFormatPr defaultColWidth="14.42578125" defaultRowHeight="15" customHeight="1"/>
  <cols>
    <col min="1" max="1" width="36.42578125" style="79" hidden="1" customWidth="1"/>
    <col min="2" max="2" width="42.42578125" style="79" hidden="1" customWidth="1"/>
    <col min="3" max="3" width="32.42578125" style="79" customWidth="1"/>
    <col min="4" max="4" width="33.42578125" style="79" customWidth="1"/>
    <col min="5" max="16" width="16.85546875" style="79" customWidth="1"/>
    <col min="17" max="17" width="16.28515625" style="79" customWidth="1"/>
    <col min="18" max="19" width="12.42578125" style="79" customWidth="1"/>
    <col min="20" max="26" width="9.140625" style="79" customWidth="1"/>
    <col min="27" max="16384" width="14.42578125" style="79"/>
  </cols>
  <sheetData>
    <row r="1" spans="1:26 16384:16384" s="143" customFormat="1" ht="27.95" customHeight="1">
      <c r="A1" s="139"/>
      <c r="B1" s="139"/>
      <c r="C1" s="140" t="s">
        <v>77</v>
      </c>
      <c r="D1" s="141"/>
      <c r="E1" s="142"/>
      <c r="F1" s="142"/>
      <c r="G1" s="142"/>
      <c r="H1" s="142"/>
      <c r="I1" s="142"/>
      <c r="J1" s="142"/>
      <c r="K1" s="142"/>
      <c r="L1" s="142"/>
      <c r="M1" s="142"/>
      <c r="N1" s="142"/>
      <c r="O1" s="142"/>
      <c r="P1" s="142"/>
      <c r="Q1" s="141"/>
      <c r="R1" s="141"/>
      <c r="S1" s="141"/>
      <c r="T1" s="141"/>
      <c r="U1" s="141"/>
      <c r="V1" s="141"/>
      <c r="W1" s="141"/>
      <c r="X1" s="141"/>
      <c r="Y1" s="141"/>
      <c r="Z1" s="141"/>
    </row>
    <row r="2" spans="1:26 16384:16384" s="90" customFormat="1" ht="80.45" customHeight="1" thickBot="1">
      <c r="A2" s="115"/>
      <c r="B2" s="115"/>
      <c r="C2" s="269" t="s">
        <v>78</v>
      </c>
      <c r="D2" s="270"/>
      <c r="E2" s="270"/>
      <c r="F2" s="270"/>
      <c r="G2" s="270"/>
      <c r="H2" s="270"/>
      <c r="I2" s="270"/>
      <c r="J2" s="270"/>
      <c r="K2" s="270"/>
      <c r="L2" s="116"/>
      <c r="M2" s="116"/>
      <c r="N2" s="116"/>
      <c r="O2" s="116"/>
      <c r="P2" s="116"/>
      <c r="Q2" s="89"/>
      <c r="R2" s="89"/>
      <c r="S2" s="89"/>
      <c r="T2" s="89"/>
      <c r="U2" s="89"/>
      <c r="V2" s="89"/>
      <c r="W2" s="89"/>
      <c r="X2" s="89"/>
      <c r="Y2" s="89"/>
      <c r="Z2" s="89"/>
    </row>
    <row r="3" spans="1:26 16384:16384" s="90" customFormat="1" ht="38.1" customHeight="1" thickBot="1">
      <c r="A3" s="115"/>
      <c r="B3" s="115"/>
      <c r="C3" s="271" t="s">
        <v>79</v>
      </c>
      <c r="D3" s="272"/>
      <c r="E3" s="272"/>
      <c r="F3" s="272"/>
      <c r="G3" s="272"/>
      <c r="H3" s="272"/>
      <c r="I3" s="272"/>
      <c r="J3" s="272"/>
      <c r="K3" s="272"/>
      <c r="L3" s="144"/>
      <c r="M3" s="116"/>
      <c r="N3" s="116"/>
      <c r="O3" s="116"/>
      <c r="P3" s="116"/>
      <c r="Q3" s="89"/>
      <c r="R3" s="89"/>
      <c r="S3" s="89"/>
      <c r="T3" s="89"/>
      <c r="U3" s="89"/>
      <c r="V3" s="89"/>
      <c r="W3" s="89"/>
      <c r="X3" s="89"/>
      <c r="Y3" s="89"/>
      <c r="Z3" s="89"/>
    </row>
    <row r="4" spans="1:26 16384:16384" s="90" customFormat="1" ht="39.6" customHeight="1">
      <c r="A4" s="115" t="s">
        <v>80</v>
      </c>
      <c r="B4" s="115">
        <v>0</v>
      </c>
      <c r="C4" s="119" t="s">
        <v>80</v>
      </c>
      <c r="D4" s="120"/>
      <c r="E4" s="119" t="s">
        <v>43</v>
      </c>
      <c r="F4" s="119" t="s">
        <v>44</v>
      </c>
      <c r="G4" s="119" t="s">
        <v>45</v>
      </c>
      <c r="H4" s="119" t="s">
        <v>46</v>
      </c>
      <c r="I4" s="119" t="s">
        <v>47</v>
      </c>
      <c r="J4" s="119" t="s">
        <v>48</v>
      </c>
      <c r="K4" s="119" t="s">
        <v>49</v>
      </c>
      <c r="L4" s="119" t="s">
        <v>50</v>
      </c>
      <c r="M4" s="119" t="s">
        <v>51</v>
      </c>
      <c r="N4" s="119" t="s">
        <v>52</v>
      </c>
      <c r="O4" s="119" t="s">
        <v>53</v>
      </c>
      <c r="P4" s="119" t="s">
        <v>54</v>
      </c>
      <c r="Q4" s="91"/>
      <c r="R4" s="89"/>
      <c r="S4" s="89"/>
      <c r="T4" s="89"/>
      <c r="U4" s="89"/>
      <c r="V4" s="89"/>
      <c r="W4" s="89"/>
      <c r="X4" s="89"/>
      <c r="Y4" s="89"/>
      <c r="Z4" s="89"/>
    </row>
    <row r="5" spans="1:26 16384:16384" ht="39.6" customHeight="1">
      <c r="A5" s="78" t="s">
        <v>55</v>
      </c>
      <c r="B5" s="78" t="s">
        <v>56</v>
      </c>
      <c r="C5" s="121" t="s">
        <v>55</v>
      </c>
      <c r="D5" s="122" t="s">
        <v>56</v>
      </c>
      <c r="E5" s="123">
        <f>SUMIFS('CC Actuals'!E$7:E$51,'CC Actuals'!$A$7:$A$51,'Financial ACTUALS'!$C$5,'CC Actuals'!$B$7:$B$51,'Financial ACTUALS'!$D5)</f>
        <v>-8460389.8399999999</v>
      </c>
      <c r="F5" s="123">
        <f>SUMIFS('CC Actuals'!F$7:F$51,'CC Actuals'!$A$7:$A$51,'Financial ACTUALS'!$C5,'CC Actuals'!$B$7:$B$51,'Financial ACTUALS'!$D5)</f>
        <v>-8149859.6999999993</v>
      </c>
      <c r="G5" s="123">
        <f>SUMIFS('CC Actuals'!G$7:G$51,'CC Actuals'!$A$7:$A$51,'Financial ACTUALS'!$C5,'CC Actuals'!$B$7:$B$51,'Financial ACTUALS'!$D5)</f>
        <v>-7531701.29</v>
      </c>
      <c r="H5" s="123">
        <f>SUMIFS('CC Actuals'!H$7:H$51,'CC Actuals'!$A$7:$A$51,'Financial ACTUALS'!$C5,'CC Actuals'!$B$7:$B$51,'Financial ACTUALS'!$D5)</f>
        <v>-7473771.8099999996</v>
      </c>
      <c r="I5" s="123">
        <f>SUMIFS('CC Actuals'!I$7:I$51,'CC Actuals'!$A$7:$A$51,'Financial ACTUALS'!$C5,'CC Actuals'!$B$7:$B$51,'Financial ACTUALS'!$D5)</f>
        <v>-7892157.04</v>
      </c>
      <c r="J5" s="123">
        <f>SUMIFS('CC Actuals'!J$7:J$51,'CC Actuals'!$A$7:$A$51,'Financial ACTUALS'!$C5,'CC Actuals'!$B$7:$B$51,'Financial ACTUALS'!$D5)</f>
        <v>-7699347.6500000004</v>
      </c>
      <c r="K5" s="123">
        <f>SUMIFS('CC Actuals'!K$7:K$51,'CC Actuals'!$A$7:$A$51,'Financial ACTUALS'!$C5,'CC Actuals'!$B$7:$B$51,'Financial ACTUALS'!$D5)</f>
        <v>-11178158.369999999</v>
      </c>
      <c r="L5" s="123">
        <f>SUMIFS('CC Actuals'!L$7:L$51,'CC Actuals'!$A$7:$A$51,'Financial ACTUALS'!$C5,'CC Actuals'!$B$7:$B$51,'Financial ACTUALS'!$D5)</f>
        <v>-9894599.1999999993</v>
      </c>
      <c r="M5" s="123">
        <f>SUMIFS('CC Actuals'!M$7:M$51,'CC Actuals'!$A$7:$A$51,'Financial ACTUALS'!$C5,'CC Actuals'!$B$7:$B$51,'Financial ACTUALS'!$D5)</f>
        <v>-10434056.43</v>
      </c>
      <c r="N5" s="123">
        <f>SUMIFS('CC Actuals'!N$7:N$51,'CC Actuals'!$A$7:$A$51,'Financial ACTUALS'!$C5,'CC Actuals'!$B$7:$B$51,'Financial ACTUALS'!$D5)</f>
        <v>-7635103.0900000008</v>
      </c>
      <c r="O5" s="123">
        <f>SUMIFS('CC Actuals'!O$7:O$51,'CC Actuals'!$A$7:$A$51,'Financial ACTUALS'!$C5,'CC Actuals'!$B$7:$B$51,'Financial ACTUALS'!$D5)</f>
        <v>-7710730.1799999997</v>
      </c>
      <c r="P5" s="123">
        <f>SUMIFS('CC Actuals'!P$7:P$51,'CC Actuals'!$A$7:$A$51,'Financial ACTUALS'!$C5,'CC Actuals'!$B$7:$B$51,'Financial ACTUALS'!$D5)</f>
        <v>-7415391.3399999999</v>
      </c>
      <c r="Q5" s="124"/>
      <c r="R5" s="78"/>
      <c r="S5" s="78"/>
      <c r="T5" s="78"/>
      <c r="U5" s="78"/>
      <c r="V5" s="78"/>
      <c r="W5" s="78"/>
      <c r="X5" s="78"/>
      <c r="Y5" s="78"/>
      <c r="Z5" s="78"/>
    </row>
    <row r="6" spans="1:26 16384:16384" ht="13.5" customHeight="1">
      <c r="A6" s="57" t="s">
        <v>55</v>
      </c>
      <c r="B6" s="57" t="s">
        <v>81</v>
      </c>
      <c r="C6" s="121"/>
      <c r="D6" s="125" t="s">
        <v>81</v>
      </c>
      <c r="E6" s="123">
        <f t="array" ref="E6">SUMPRODUCT(--('CC Actuals'!$A$7:$A$51='Financial ACTUALS'!$C5)*('CC Actuals'!$B$7:$B$51="Production Costs")*('CC Actuals'!$E$6:$P$6='Financial ACTUALS'!E$4)*('CC Actuals'!$E$7:$P$51))</f>
        <v>35500.949999999997</v>
      </c>
      <c r="F6" s="123">
        <f t="array" ref="F6">SUMPRODUCT(--('CC Actuals'!$A$7:$A$51='Financial ACTUALS'!$C5)*('CC Actuals'!$B$7:$B$51="Production Costs")*('CC Actuals'!$E$6:$P$6='Financial ACTUALS'!F$4)*('CC Actuals'!$E$7:$P$51))</f>
        <v>24210.95</v>
      </c>
      <c r="G6" s="123">
        <f t="array" ref="G6">SUMPRODUCT(--('CC Actuals'!$A$7:$A$51='Financial ACTUALS'!$C5)*('CC Actuals'!$B$7:$B$51="Production Costs")*('CC Actuals'!$E$6:$P$6='Financial ACTUALS'!G$4)*('CC Actuals'!$E$7:$P$51))</f>
        <v>41241.32</v>
      </c>
      <c r="H6" s="123">
        <f t="array" ref="H6">SUMPRODUCT(--('CC Actuals'!$A$7:$A$51='Financial ACTUALS'!$C5)*('CC Actuals'!$B$7:$B$51="Production Costs")*('CC Actuals'!$E$6:$P$6='Financial ACTUALS'!H$4)*('CC Actuals'!$E$7:$P$51))</f>
        <v>26123</v>
      </c>
      <c r="I6" s="123">
        <f t="array" ref="I6">SUMPRODUCT(--('CC Actuals'!$A$7:$A$51='Financial ACTUALS'!$C5)*('CC Actuals'!$B$7:$B$51="Production Costs")*('CC Actuals'!$E$6:$P$6='Financial ACTUALS'!I$4)*('CC Actuals'!$E$7:$P$51))</f>
        <v>32233</v>
      </c>
      <c r="J6" s="123">
        <f t="array" ref="J6">SUMPRODUCT(--('CC Actuals'!$A$7:$A$51='Financial ACTUALS'!$C5)*('CC Actuals'!$B$7:$B$51="Production Costs")*('CC Actuals'!$E$6:$P$6='Financial ACTUALS'!J$4)*('CC Actuals'!$E$7:$P$51))</f>
        <v>31527</v>
      </c>
      <c r="K6" s="123">
        <f t="array" ref="K6">SUMPRODUCT(--('CC Actuals'!$A$7:$A$51='Financial ACTUALS'!$C5)*('CC Actuals'!$B$7:$B$51="Production Costs")*('CC Actuals'!$E$6:$P$6='Financial ACTUALS'!K$4)*('CC Actuals'!$E$7:$P$51))</f>
        <v>32471</v>
      </c>
      <c r="L6" s="123">
        <f t="array" ref="L6">SUMPRODUCT(--('CC Actuals'!$A$7:$A$51='Financial ACTUALS'!$C5)*('CC Actuals'!$B$7:$B$51="Production Costs")*('CC Actuals'!$E$6:$P$6='Financial ACTUALS'!L$4)*('CC Actuals'!$E$7:$P$51))</f>
        <v>35288</v>
      </c>
      <c r="M6" s="123">
        <f t="array" ref="M6">SUMPRODUCT(--('CC Actuals'!$A$7:$A$51='Financial ACTUALS'!$C5)*('CC Actuals'!$B$7:$B$51="Production Costs")*('CC Actuals'!$E$6:$P$6='Financial ACTUALS'!M$4)*('CC Actuals'!$E$7:$P$51))</f>
        <v>27349</v>
      </c>
      <c r="N6" s="123">
        <f t="array" ref="N6">SUMPRODUCT(--('CC Actuals'!$A$7:$A$51='Financial ACTUALS'!$C5)*('CC Actuals'!$B$7:$B$51="Production Costs")*('CC Actuals'!$E$6:$P$6='Financial ACTUALS'!N$4)*('CC Actuals'!$E$7:$P$51))</f>
        <v>27343</v>
      </c>
      <c r="O6" s="123">
        <f t="array" ref="O6">SUMPRODUCT(--('CC Actuals'!$A$7:$A$51='Financial ACTUALS'!$C5)*('CC Actuals'!$B$7:$B$51="Production Costs")*('CC Actuals'!$E$6:$P$6='Financial ACTUALS'!O$4)*('CC Actuals'!$E$7:$P$51))</f>
        <v>28172</v>
      </c>
      <c r="P6" s="123">
        <f t="array" ref="P6">SUMPRODUCT(--('CC Actuals'!$A$7:$A$51='Financial ACTUALS'!$C5)*('CC Actuals'!$B$7:$B$51="Production Costs")*('CC Actuals'!$E$6:$P$6='Financial ACTUALS'!P$4)*('CC Actuals'!$E$7:$P$51))</f>
        <v>33589</v>
      </c>
      <c r="Q6" s="124"/>
      <c r="R6" s="78"/>
      <c r="S6" s="78"/>
      <c r="T6" s="78"/>
      <c r="U6" s="78"/>
      <c r="V6" s="78"/>
      <c r="W6" s="78"/>
      <c r="X6" s="78"/>
      <c r="Y6" s="78"/>
      <c r="Z6" s="78"/>
      <c r="XFD6" s="126"/>
    </row>
    <row r="7" spans="1:26 16384:16384" ht="13.5" customHeight="1">
      <c r="A7" s="57" t="e">
        <v>#REF!</v>
      </c>
      <c r="B7" s="57" t="s">
        <v>82</v>
      </c>
      <c r="C7" s="127"/>
      <c r="D7" s="125" t="s">
        <v>82</v>
      </c>
      <c r="E7" s="123">
        <f t="array" ref="E7">SUMPRODUCT(--('CC Actuals'!$A$7:$A$51='Financial ACTUALS'!$C5)*('CC Actuals'!$B$7:$B$51="Other Production Costs")*('CC Actuals'!$E$6:$P$6='Financial ACTUALS'!E$4)*('CC Actuals'!$E$7:$P$51))</f>
        <v>19203.259999999998</v>
      </c>
      <c r="F7" s="123">
        <f t="array" ref="F7">SUMPRODUCT(--('CC Actuals'!$A$7:$A$51='Financial ACTUALS'!$C5)*('CC Actuals'!$B$7:$B$51="Other Production Costs")*('CC Actuals'!$E$6:$P$6='Financial ACTUALS'!F$4)*('CC Actuals'!$E$7:$P$51))</f>
        <v>31298.22</v>
      </c>
      <c r="G7" s="123">
        <f t="array" ref="G7">SUMPRODUCT(--('CC Actuals'!$A$7:$A$51='Financial ACTUALS'!$C5)*('CC Actuals'!$B$7:$B$51="Other Production Costs")*('CC Actuals'!$E$6:$P$6='Financial ACTUALS'!G$4)*('CC Actuals'!$E$7:$P$51))</f>
        <v>21242.74</v>
      </c>
      <c r="H7" s="123">
        <f t="array" ref="H7">SUMPRODUCT(--('CC Actuals'!$A$7:$A$51='Financial ACTUALS'!$C5)*('CC Actuals'!$B$7:$B$51="Other Production Costs")*('CC Actuals'!$E$6:$P$6='Financial ACTUALS'!H$4)*('CC Actuals'!$E$7:$P$51))</f>
        <v>25800</v>
      </c>
      <c r="I7" s="123">
        <f t="array" ref="I7">SUMPRODUCT(--('CC Actuals'!$A$7:$A$51='Financial ACTUALS'!$C5)*('CC Actuals'!$B$7:$B$51="Other Production Costs")*('CC Actuals'!$E$6:$P$6='Financial ACTUALS'!I$4)*('CC Actuals'!$E$7:$P$51))</f>
        <v>28652</v>
      </c>
      <c r="J7" s="123">
        <f t="array" ref="J7">SUMPRODUCT(--('CC Actuals'!$A$7:$A$51='Financial ACTUALS'!$C5)*('CC Actuals'!$B$7:$B$51="Other Production Costs")*('CC Actuals'!$E$6:$P$6='Financial ACTUALS'!J$4)*('CC Actuals'!$E$7:$P$51))</f>
        <v>31034</v>
      </c>
      <c r="K7" s="123">
        <f t="array" ref="K7">SUMPRODUCT(--('CC Actuals'!$A$7:$A$51='Financial ACTUALS'!$C5)*('CC Actuals'!$B$7:$B$51="Other Production Costs")*('CC Actuals'!$E$6:$P$6='Financial ACTUALS'!K$4)*('CC Actuals'!$E$7:$P$51))</f>
        <v>29518</v>
      </c>
      <c r="L7" s="123">
        <f t="array" ref="L7">SUMPRODUCT(--('CC Actuals'!$A$7:$A$51='Financial ACTUALS'!$C5)*('CC Actuals'!$B$7:$B$51="Other Production Costs")*('CC Actuals'!$E$6:$P$6='Financial ACTUALS'!L$4)*('CC Actuals'!$E$7:$P$51))</f>
        <v>28654</v>
      </c>
      <c r="M7" s="123">
        <f t="array" ref="M7">SUMPRODUCT(--('CC Actuals'!$A$7:$A$51='Financial ACTUALS'!$C5)*('CC Actuals'!$B$7:$B$51="Other Production Costs")*('CC Actuals'!$E$6:$P$6='Financial ACTUALS'!M$4)*('CC Actuals'!$E$7:$P$51))</f>
        <v>21938</v>
      </c>
      <c r="N7" s="123">
        <f t="array" ref="N7">SUMPRODUCT(--('CC Actuals'!$A$7:$A$51='Financial ACTUALS'!$C5)*('CC Actuals'!$B$7:$B$51="Other Production Costs")*('CC Actuals'!$E$6:$P$6='Financial ACTUALS'!N$4)*('CC Actuals'!$E$7:$P$51))</f>
        <v>30933</v>
      </c>
      <c r="O7" s="123">
        <f t="array" ref="O7">SUMPRODUCT(--('CC Actuals'!$A$7:$A$51='Financial ACTUALS'!$C5)*('CC Actuals'!$B$7:$B$51="Other Production Costs")*('CC Actuals'!$E$6:$P$6='Financial ACTUALS'!O$4)*('CC Actuals'!$E$7:$P$51))</f>
        <v>27132</v>
      </c>
      <c r="P7" s="123">
        <f t="array" ref="P7">SUMPRODUCT(--('CC Actuals'!$A$7:$A$51='Financial ACTUALS'!$C5)*('CC Actuals'!$B$7:$B$51="Other Production Costs")*('CC Actuals'!$E$6:$P$6='Financial ACTUALS'!P$4)*('CC Actuals'!$E$7:$P$51))</f>
        <v>29759</v>
      </c>
      <c r="Q7" s="124"/>
      <c r="R7" s="78"/>
      <c r="S7" s="78"/>
      <c r="T7" s="78"/>
      <c r="U7" s="78"/>
      <c r="V7" s="78"/>
      <c r="W7" s="78"/>
      <c r="X7" s="78"/>
      <c r="Y7" s="78"/>
      <c r="Z7" s="78"/>
      <c r="XFD7" s="126"/>
    </row>
    <row r="8" spans="1:26 16384:16384" ht="12" customHeight="1">
      <c r="A8" s="57" t="s">
        <v>69</v>
      </c>
      <c r="B8" s="57" t="s">
        <v>56</v>
      </c>
      <c r="C8" s="128" t="s">
        <v>69</v>
      </c>
      <c r="D8" s="129" t="s">
        <v>56</v>
      </c>
      <c r="E8" s="123">
        <f>SUMIFS('CC Actuals'!E$7:E$51,'CC Actuals'!$A$7:$A$51,'Financial ACTUALS'!$C8,'CC Actuals'!$B$7:$B$51,'Financial ACTUALS'!$D8)</f>
        <v>-19894012.739999998</v>
      </c>
      <c r="F8" s="123">
        <f>SUMIFS('CC Actuals'!F$7:F$51,'CC Actuals'!$A$7:$A$51,'Financial ACTUALS'!$C8,'CC Actuals'!$B$7:$B$51,'Financial ACTUALS'!$D8)</f>
        <v>-16863304.57</v>
      </c>
      <c r="G8" s="123">
        <f>SUMIFS('CC Actuals'!G$7:G$51,'CC Actuals'!$A$7:$A$51,'Financial ACTUALS'!$C8,'CC Actuals'!$B$7:$B$51,'Financial ACTUALS'!$D8)</f>
        <v>-18634437.710000001</v>
      </c>
      <c r="H8" s="123">
        <f>SUMIFS('CC Actuals'!H$7:H$51,'CC Actuals'!$A$7:$A$51,'Financial ACTUALS'!$C8,'CC Actuals'!$B$7:$B$51,'Financial ACTUALS'!$D8)</f>
        <v>-17531805.759999998</v>
      </c>
      <c r="I8" s="123">
        <f>SUMIFS('CC Actuals'!I$7:I$51,'CC Actuals'!$A$7:$A$51,'Financial ACTUALS'!$C8,'CC Actuals'!$B$7:$B$51,'Financial ACTUALS'!$D8)</f>
        <v>-16086473.6</v>
      </c>
      <c r="J8" s="123">
        <f>SUMIFS('CC Actuals'!J$7:J$51,'CC Actuals'!$A$7:$A$51,'Financial ACTUALS'!$C8,'CC Actuals'!$B$7:$B$51,'Financial ACTUALS'!$D8)</f>
        <v>-17992774.75</v>
      </c>
      <c r="K8" s="123">
        <f>SUMIFS('CC Actuals'!K$7:K$51,'CC Actuals'!$A$7:$A$51,'Financial ACTUALS'!$C8,'CC Actuals'!$B$7:$B$51,'Financial ACTUALS'!$D8)</f>
        <v>-25540140.41</v>
      </c>
      <c r="L8" s="123">
        <f>SUMIFS('CC Actuals'!L$7:L$51,'CC Actuals'!$A$7:$A$51,'Financial ACTUALS'!$C8,'CC Actuals'!$B$7:$B$51,'Financial ACTUALS'!$D8)</f>
        <v>-23695398.210000001</v>
      </c>
      <c r="M8" s="123">
        <f>SUMIFS('CC Actuals'!M$7:M$51,'CC Actuals'!$A$7:$A$51,'Financial ACTUALS'!$C8,'CC Actuals'!$B$7:$B$51,'Financial ACTUALS'!$D8)</f>
        <v>-22536666.82</v>
      </c>
      <c r="N8" s="123">
        <f>SUMIFS('CC Actuals'!N$7:N$51,'CC Actuals'!$A$7:$A$51,'Financial ACTUALS'!$C8,'CC Actuals'!$B$7:$B$51,'Financial ACTUALS'!$D8)</f>
        <v>-18635306.310000002</v>
      </c>
      <c r="O8" s="123">
        <f>SUMIFS('CC Actuals'!O$7:O$51,'CC Actuals'!$A$7:$A$51,'Financial ACTUALS'!$C8,'CC Actuals'!$B$7:$B$51,'Financial ACTUALS'!$D8)</f>
        <v>-17104640.780000001</v>
      </c>
      <c r="P8" s="123">
        <f>SUMIFS('CC Actuals'!P$7:P$51,'CC Actuals'!$A$7:$A$51,'Financial ACTUALS'!$C8,'CC Actuals'!$B$7:$B$51,'Financial ACTUALS'!$D8)</f>
        <v>-18482607.449999999</v>
      </c>
      <c r="Q8" s="124"/>
      <c r="R8" s="78"/>
      <c r="S8" s="78"/>
      <c r="T8" s="78"/>
      <c r="U8" s="78"/>
      <c r="V8" s="78"/>
      <c r="W8" s="78"/>
      <c r="X8" s="78"/>
      <c r="Y8" s="78"/>
      <c r="Z8" s="78"/>
    </row>
    <row r="9" spans="1:26 16384:16384" ht="13.5" customHeight="1">
      <c r="A9" s="57" t="s">
        <v>69</v>
      </c>
      <c r="B9" s="57" t="s">
        <v>81</v>
      </c>
      <c r="C9" s="127"/>
      <c r="D9" s="125" t="s">
        <v>81</v>
      </c>
      <c r="E9" s="123">
        <f t="array" ref="E9">SUMPRODUCT(--('CC Actuals'!$A$7:$A$51='Financial ACTUALS'!$C$8)*('CC Actuals'!$B$7:$B$51="Production Costs")*('CC Actuals'!$E$6:$P$6='Financial ACTUALS'!E$4)*('CC Actuals'!$E$7:$P$51))</f>
        <v>686673.01</v>
      </c>
      <c r="F9" s="123">
        <f t="array" ref="F9">SUMPRODUCT(--('CC Actuals'!$A$7:$A$51='Financial ACTUALS'!$C$8)*('CC Actuals'!$B$7:$B$51="Production Costs")*('CC Actuals'!$E$6:$P$6='Financial ACTUALS'!F$4)*('CC Actuals'!$E$7:$P$51))</f>
        <v>867081.49</v>
      </c>
      <c r="G9" s="123">
        <f t="array" ref="G9">SUMPRODUCT(--('CC Actuals'!$A$7:$A$51='Financial ACTUALS'!$C$8)*('CC Actuals'!$B$7:$B$51="Production Costs")*('CC Actuals'!$E$6:$P$6='Financial ACTUALS'!G$4)*('CC Actuals'!$E$7:$P$51))</f>
        <v>6727.15</v>
      </c>
      <c r="H9" s="123">
        <f t="array" ref="H9">SUMPRODUCT(--('CC Actuals'!$A$7:$A$51='Financial ACTUALS'!$C$8)*('CC Actuals'!$B$7:$B$51="Production Costs")*('CC Actuals'!$E$6:$P$6='Financial ACTUALS'!H$4)*('CC Actuals'!$E$7:$P$51))</f>
        <v>401.530000000006</v>
      </c>
      <c r="I9" s="123">
        <f t="array" ref="I9">SUMPRODUCT(--('CC Actuals'!$A$7:$A$51='Financial ACTUALS'!$C$8)*('CC Actuals'!$B$7:$B$51="Production Costs")*('CC Actuals'!$E$6:$P$6='Financial ACTUALS'!I$4)*('CC Actuals'!$E$7:$P$51))</f>
        <v>144797.4</v>
      </c>
      <c r="J9" s="123">
        <f t="array" ref="J9">SUMPRODUCT(--('CC Actuals'!$A$7:$A$51='Financial ACTUALS'!$C$8)*('CC Actuals'!$B$7:$B$51="Production Costs")*('CC Actuals'!$E$6:$P$6='Financial ACTUALS'!J$4)*('CC Actuals'!$E$7:$P$51))</f>
        <v>652415.07999999996</v>
      </c>
      <c r="K9" s="123">
        <f t="array" ref="K9">SUMPRODUCT(--('CC Actuals'!$A$7:$A$51='Financial ACTUALS'!$C$8)*('CC Actuals'!$B$7:$B$51="Production Costs")*('CC Actuals'!$E$6:$P$6='Financial ACTUALS'!K$4)*('CC Actuals'!$E$7:$P$51))</f>
        <v>27790.66</v>
      </c>
      <c r="L9" s="123">
        <f t="array" ref="L9">SUMPRODUCT(--('CC Actuals'!$A$7:$A$51='Financial ACTUALS'!$C$8)*('CC Actuals'!$B$7:$B$51="Production Costs")*('CC Actuals'!$E$6:$P$6='Financial ACTUALS'!L$4)*('CC Actuals'!$E$7:$P$51))</f>
        <v>507467.89</v>
      </c>
      <c r="M9" s="123">
        <f t="array" ref="M9">SUMPRODUCT(--('CC Actuals'!$A$7:$A$51='Financial ACTUALS'!$C$8)*('CC Actuals'!$B$7:$B$51="Production Costs")*('CC Actuals'!$E$6:$P$6='Financial ACTUALS'!M$4)*('CC Actuals'!$E$7:$P$51))</f>
        <v>241353.12</v>
      </c>
      <c r="N9" s="123">
        <f t="array" ref="N9">SUMPRODUCT(--('CC Actuals'!$A$7:$A$51='Financial ACTUALS'!$C$8)*('CC Actuals'!$B$7:$B$51="Production Costs")*('CC Actuals'!$E$6:$P$6='Financial ACTUALS'!N$4)*('CC Actuals'!$E$7:$P$51))</f>
        <v>95261.1</v>
      </c>
      <c r="O9" s="123">
        <f t="array" ref="O9">SUMPRODUCT(--('CC Actuals'!$A$7:$A$51='Financial ACTUALS'!$C$8)*('CC Actuals'!$B$7:$B$51="Production Costs")*('CC Actuals'!$E$6:$P$6='Financial ACTUALS'!O$4)*('CC Actuals'!$E$7:$P$51))</f>
        <v>197723.18</v>
      </c>
      <c r="P9" s="123">
        <f t="array" ref="P9">SUMPRODUCT(--('CC Actuals'!$A$7:$A$51='Financial ACTUALS'!$C$8)*('CC Actuals'!$B$7:$B$51="Production Costs")*('CC Actuals'!$E$6:$P$6='Financial ACTUALS'!P$4)*('CC Actuals'!$E$7:$P$51))</f>
        <v>175247.34</v>
      </c>
      <c r="Q9" s="124"/>
      <c r="R9" s="78"/>
      <c r="S9" s="78"/>
      <c r="T9" s="78"/>
      <c r="U9" s="78"/>
      <c r="V9" s="78"/>
      <c r="W9" s="78"/>
      <c r="X9" s="78"/>
      <c r="Y9" s="78"/>
      <c r="Z9" s="78"/>
    </row>
    <row r="10" spans="1:26 16384:16384" ht="13.5" customHeight="1">
      <c r="A10" s="57" t="e">
        <v>#REF!</v>
      </c>
      <c r="B10" s="57" t="s">
        <v>82</v>
      </c>
      <c r="C10" s="127"/>
      <c r="D10" s="125" t="s">
        <v>82</v>
      </c>
      <c r="E10" s="123">
        <f t="array" ref="E10">SUMPRODUCT(--('CC Actuals'!$A$7:$A$51='Financial ACTUALS'!$C$8)*('CC Actuals'!$B$7:$B$51="Other Production Costs")*('CC Actuals'!$E$6:$P$6='Financial ACTUALS'!E$4)*('CC Actuals'!$E$7:$P$51))</f>
        <v>241931.03000000003</v>
      </c>
      <c r="F10" s="123">
        <f t="array" ref="F10">SUMPRODUCT(--('CC Actuals'!$A$7:$A$51='Financial ACTUALS'!$C$8)*('CC Actuals'!$B$7:$B$51="Other Production Costs")*('CC Actuals'!$E$6:$P$6='Financial ACTUALS'!F$4)*('CC Actuals'!$E$7:$P$51))</f>
        <v>228177.66</v>
      </c>
      <c r="G10" s="123">
        <f t="array" ref="G10">SUMPRODUCT(--('CC Actuals'!$A$7:$A$51='Financial ACTUALS'!$C$8)*('CC Actuals'!$B$7:$B$51="Other Production Costs")*('CC Actuals'!$E$6:$P$6='Financial ACTUALS'!G$4)*('CC Actuals'!$E$7:$P$51))</f>
        <v>362088.43</v>
      </c>
      <c r="H10" s="123">
        <f t="array" ref="H10">SUMPRODUCT(--('CC Actuals'!$A$7:$A$51='Financial ACTUALS'!$C$8)*('CC Actuals'!$B$7:$B$51="Other Production Costs")*('CC Actuals'!$E$6:$P$6='Financial ACTUALS'!H$4)*('CC Actuals'!$E$7:$P$51))</f>
        <v>211688.28</v>
      </c>
      <c r="I10" s="123">
        <f t="array" ref="I10">SUMPRODUCT(--('CC Actuals'!$A$7:$A$51='Financial ACTUALS'!$C$8)*('CC Actuals'!$B$7:$B$51="Other Production Costs")*('CC Actuals'!$E$6:$P$6='Financial ACTUALS'!I$4)*('CC Actuals'!$E$7:$P$51))</f>
        <v>237346.23</v>
      </c>
      <c r="J10" s="123">
        <f t="array" ref="J10">SUMPRODUCT(--('CC Actuals'!$A$7:$A$51='Financial ACTUALS'!$C$8)*('CC Actuals'!$B$7:$B$51="Other Production Costs")*('CC Actuals'!$E$6:$P$6='Financial ACTUALS'!J$4)*('CC Actuals'!$E$7:$P$51))</f>
        <v>293131.57</v>
      </c>
      <c r="K10" s="123">
        <f t="array" ref="K10">SUMPRODUCT(--('CC Actuals'!$A$7:$A$51='Financial ACTUALS'!$C$8)*('CC Actuals'!$B$7:$B$51="Other Production Costs")*('CC Actuals'!$E$6:$P$6='Financial ACTUALS'!K$4)*('CC Actuals'!$E$7:$P$51))</f>
        <v>335872.34</v>
      </c>
      <c r="L10" s="123">
        <f t="array" ref="L10">SUMPRODUCT(--('CC Actuals'!$A$7:$A$51='Financial ACTUALS'!$C$8)*('CC Actuals'!$B$7:$B$51="Other Production Costs")*('CC Actuals'!$E$6:$P$6='Financial ACTUALS'!L$4)*('CC Actuals'!$E$7:$P$51))</f>
        <v>333612.56</v>
      </c>
      <c r="M10" s="123">
        <f t="array" ref="M10">SUMPRODUCT(--('CC Actuals'!$A$7:$A$51='Financial ACTUALS'!$C$8)*('CC Actuals'!$B$7:$B$51="Other Production Costs")*('CC Actuals'!$E$6:$P$6='Financial ACTUALS'!M$4)*('CC Actuals'!$E$7:$P$51))</f>
        <v>288580.33</v>
      </c>
      <c r="N10" s="123">
        <f t="array" ref="N10">SUMPRODUCT(--('CC Actuals'!$A$7:$A$51='Financial ACTUALS'!$C$8)*('CC Actuals'!$B$7:$B$51="Other Production Costs")*('CC Actuals'!$E$6:$P$6='Financial ACTUALS'!N$4)*('CC Actuals'!$E$7:$P$51))</f>
        <v>270114.8</v>
      </c>
      <c r="O10" s="123">
        <f t="array" ref="O10">SUMPRODUCT(--('CC Actuals'!$A$7:$A$51='Financial ACTUALS'!$C$8)*('CC Actuals'!$B$7:$B$51="Other Production Costs")*('CC Actuals'!$E$6:$P$6='Financial ACTUALS'!O$4)*('CC Actuals'!$E$7:$P$51))</f>
        <v>279543.5</v>
      </c>
      <c r="P10" s="123">
        <f t="array" ref="P10">SUMPRODUCT(--('CC Actuals'!$A$7:$A$51='Financial ACTUALS'!$C$8)*('CC Actuals'!$B$7:$B$51="Other Production Costs")*('CC Actuals'!$E$6:$P$6='Financial ACTUALS'!P$4)*('CC Actuals'!$E$7:$P$51))</f>
        <v>423607.52</v>
      </c>
      <c r="Q10" s="124"/>
      <c r="R10" s="78"/>
      <c r="S10" s="78"/>
      <c r="T10" s="78"/>
      <c r="U10" s="78"/>
      <c r="V10" s="78"/>
      <c r="W10" s="78"/>
      <c r="X10" s="78"/>
      <c r="Y10" s="78"/>
      <c r="Z10" s="78"/>
    </row>
    <row r="11" spans="1:26 16384:16384" ht="13.5" customHeight="1">
      <c r="A11" s="57" t="s">
        <v>83</v>
      </c>
      <c r="B11" s="57" t="s">
        <v>56</v>
      </c>
      <c r="C11" s="128" t="s">
        <v>83</v>
      </c>
      <c r="D11" s="129" t="s">
        <v>56</v>
      </c>
      <c r="E11" s="123">
        <f>E5+E8</f>
        <v>-28354402.579999998</v>
      </c>
      <c r="F11" s="123">
        <f>F5+F8</f>
        <v>-25013164.27</v>
      </c>
      <c r="G11" s="123">
        <f t="shared" ref="G11:P11" si="0">G5+G8</f>
        <v>-26166139</v>
      </c>
      <c r="H11" s="123">
        <f t="shared" si="0"/>
        <v>-25005577.569999997</v>
      </c>
      <c r="I11" s="123">
        <f t="shared" si="0"/>
        <v>-23978630.640000001</v>
      </c>
      <c r="J11" s="123">
        <f t="shared" si="0"/>
        <v>-25692122.399999999</v>
      </c>
      <c r="K11" s="123">
        <f t="shared" si="0"/>
        <v>-36718298.780000001</v>
      </c>
      <c r="L11" s="123">
        <f t="shared" si="0"/>
        <v>-33589997.409999996</v>
      </c>
      <c r="M11" s="123">
        <f t="shared" si="0"/>
        <v>-32970723.25</v>
      </c>
      <c r="N11" s="123">
        <f t="shared" si="0"/>
        <v>-26270409.400000002</v>
      </c>
      <c r="O11" s="123">
        <f t="shared" si="0"/>
        <v>-24815370.960000001</v>
      </c>
      <c r="P11" s="123">
        <f t="shared" si="0"/>
        <v>-25897998.789999999</v>
      </c>
      <c r="Q11" s="124"/>
      <c r="R11" s="78"/>
      <c r="S11" s="78"/>
      <c r="T11" s="78"/>
      <c r="U11" s="78"/>
      <c r="V11" s="78"/>
      <c r="W11" s="78"/>
      <c r="X11" s="78"/>
      <c r="Y11" s="78"/>
      <c r="Z11" s="78"/>
    </row>
    <row r="12" spans="1:26 16384:16384" ht="13.5" customHeight="1">
      <c r="A12" s="57" t="s">
        <v>83</v>
      </c>
      <c r="B12" s="57" t="s">
        <v>81</v>
      </c>
      <c r="C12" s="127"/>
      <c r="D12" s="129" t="s">
        <v>81</v>
      </c>
      <c r="E12" s="123">
        <f>SUM(E6,E9)</f>
        <v>722173.96</v>
      </c>
      <c r="F12" s="123">
        <f t="shared" ref="F12:P12" si="1">SUM(F6,F9)</f>
        <v>891292.44</v>
      </c>
      <c r="G12" s="123">
        <f t="shared" si="1"/>
        <v>47968.47</v>
      </c>
      <c r="H12" s="123">
        <f t="shared" si="1"/>
        <v>26524.530000000006</v>
      </c>
      <c r="I12" s="123">
        <f t="shared" si="1"/>
        <v>177030.39999999999</v>
      </c>
      <c r="J12" s="123">
        <f t="shared" si="1"/>
        <v>683942.08</v>
      </c>
      <c r="K12" s="123">
        <f t="shared" si="1"/>
        <v>60261.66</v>
      </c>
      <c r="L12" s="123">
        <f t="shared" si="1"/>
        <v>542755.89</v>
      </c>
      <c r="M12" s="123">
        <f t="shared" si="1"/>
        <v>268702.12</v>
      </c>
      <c r="N12" s="123">
        <f t="shared" si="1"/>
        <v>122604.1</v>
      </c>
      <c r="O12" s="123">
        <f t="shared" si="1"/>
        <v>225895.18</v>
      </c>
      <c r="P12" s="123">
        <f t="shared" si="1"/>
        <v>208836.34</v>
      </c>
      <c r="Q12" s="124"/>
      <c r="R12" s="78"/>
      <c r="S12" s="78"/>
      <c r="T12" s="78"/>
      <c r="U12" s="78"/>
      <c r="V12" s="78"/>
      <c r="W12" s="78"/>
      <c r="X12" s="78"/>
      <c r="Y12" s="78"/>
      <c r="Z12" s="78"/>
    </row>
    <row r="13" spans="1:26 16384:16384" ht="13.5" customHeight="1">
      <c r="A13" s="57" t="e">
        <v>#REF!</v>
      </c>
      <c r="B13" s="57" t="s">
        <v>82</v>
      </c>
      <c r="C13" s="127"/>
      <c r="D13" s="129" t="s">
        <v>82</v>
      </c>
      <c r="E13" s="123">
        <f>SUM(E7,E10)</f>
        <v>261134.29000000004</v>
      </c>
      <c r="F13" s="123">
        <f t="shared" ref="F13:P13" si="2">SUM(F7,F10)</f>
        <v>259475.88</v>
      </c>
      <c r="G13" s="123">
        <f t="shared" si="2"/>
        <v>383331.17</v>
      </c>
      <c r="H13" s="123">
        <f t="shared" si="2"/>
        <v>237488.28</v>
      </c>
      <c r="I13" s="123">
        <f t="shared" si="2"/>
        <v>265998.23</v>
      </c>
      <c r="J13" s="123">
        <f t="shared" si="2"/>
        <v>324165.57</v>
      </c>
      <c r="K13" s="123">
        <f t="shared" si="2"/>
        <v>365390.34</v>
      </c>
      <c r="L13" s="123">
        <f t="shared" si="2"/>
        <v>362266.56</v>
      </c>
      <c r="M13" s="123">
        <f t="shared" si="2"/>
        <v>310518.33</v>
      </c>
      <c r="N13" s="123">
        <f t="shared" si="2"/>
        <v>301047.8</v>
      </c>
      <c r="O13" s="123">
        <f t="shared" si="2"/>
        <v>306675.5</v>
      </c>
      <c r="P13" s="123">
        <f t="shared" si="2"/>
        <v>453366.52</v>
      </c>
      <c r="Q13" s="124"/>
      <c r="R13" s="78"/>
      <c r="S13" s="78"/>
      <c r="T13" s="78"/>
      <c r="U13" s="78"/>
      <c r="V13" s="78"/>
      <c r="W13" s="78"/>
      <c r="X13" s="78"/>
      <c r="Y13" s="78"/>
      <c r="Z13" s="78"/>
    </row>
    <row r="14" spans="1:26 16384:16384" ht="13.5" customHeight="1" thickBot="1">
      <c r="A14" s="57" t="s">
        <v>84</v>
      </c>
      <c r="B14" s="57" t="s">
        <v>56</v>
      </c>
      <c r="C14" s="128" t="s">
        <v>84</v>
      </c>
      <c r="D14" s="129" t="s">
        <v>56</v>
      </c>
      <c r="E14" s="123">
        <f>SUMIFS('CC Actuals'!E$7:E$51,'CC Actuals'!$A$7:$A$51,"Jutik (New Desalination Plant)",'CC Actuals'!$B$7:$B$51,'Financial ACTUALS'!$D14)</f>
        <v>-14823183.890000001</v>
      </c>
      <c r="F14" s="123">
        <f>SUMIFS('CC Actuals'!F$7:F$51,'CC Actuals'!$A$7:$A$51,"Jutik (New Desalination Plant)",'CC Actuals'!$B$7:$B$51,'Financial ACTUALS'!$D14)</f>
        <v>-16339448.65</v>
      </c>
      <c r="G14" s="123">
        <f>SUMIFS('CC Actuals'!G$7:G$51,'CC Actuals'!$A$7:$A$51,"Jutik (New Desalination Plant)",'CC Actuals'!$B$7:$B$51,'Financial ACTUALS'!$D14)</f>
        <v>-14895162.68</v>
      </c>
      <c r="H14" s="123">
        <f>SUMIFS('CC Actuals'!H$7:H$51,'CC Actuals'!$A$7:$A$51,"Jutik (New Desalination Plant)",'CC Actuals'!$B$7:$B$51,'Financial ACTUALS'!$D14)</f>
        <v>-12698823.350000001</v>
      </c>
      <c r="I14" s="123">
        <f>SUMIFS('CC Actuals'!I$7:I$51,'CC Actuals'!$A$7:$A$51,"Jutik (New Desalination Plant)",'CC Actuals'!$B$7:$B$51,'Financial ACTUALS'!$D14)</f>
        <v>-14008587.450000001</v>
      </c>
      <c r="J14" s="123">
        <f>SUMIFS('CC Actuals'!J$7:J$51,'CC Actuals'!$A$7:$A$51,"Jutik (New Desalination Plant)",'CC Actuals'!$B$7:$B$51,'Financial ACTUALS'!$D14)</f>
        <v>-12192418.84</v>
      </c>
      <c r="K14" s="123">
        <f>SUMIFS('CC Actuals'!K$7:K$51,'CC Actuals'!$A$7:$A$51,"Jutik (New Desalination Plant)",'CC Actuals'!$B$7:$B$51,'Financial ACTUALS'!$D14)</f>
        <v>-17974980.299999997</v>
      </c>
      <c r="L14" s="123">
        <f>SUMIFS('CC Actuals'!L$7:L$51,'CC Actuals'!$A$7:$A$51,"Jutik (New Desalination Plant)",'CC Actuals'!$B$7:$B$51,'Financial ACTUALS'!$D14)</f>
        <v>-17248286.52</v>
      </c>
      <c r="M14" s="123">
        <f>SUMIFS('CC Actuals'!M$7:M$51,'CC Actuals'!$A$7:$A$51,"Jutik (New Desalination Plant)",'CC Actuals'!$B$7:$B$51,'Financial ACTUALS'!$D14)</f>
        <v>-17157766.699999999</v>
      </c>
      <c r="N14" s="123">
        <f>SUMIFS('CC Actuals'!N$7:N$51,'CC Actuals'!$A$7:$A$51,"Jutik (New Desalination Plant)",'CC Actuals'!$B$7:$B$51,'Financial ACTUALS'!$D14)</f>
        <v>-17481320.02</v>
      </c>
      <c r="O14" s="123">
        <f>SUMIFS('CC Actuals'!O$7:O$51,'CC Actuals'!$A$7:$A$51,"Jutik (New Desalination Plant)",'CC Actuals'!$B$7:$B$51,'Financial ACTUALS'!$D14)</f>
        <v>-17365877.739999998</v>
      </c>
      <c r="P14" s="123">
        <f>SUMIFS('CC Actuals'!P$7:P$51,'CC Actuals'!$A$7:$A$51,"Jutik (New Desalination Plant)",'CC Actuals'!$B$7:$B$51,'Financial ACTUALS'!$D14)</f>
        <v>-18008731.18</v>
      </c>
      <c r="Q14" s="124"/>
      <c r="R14" s="78"/>
      <c r="S14" s="78"/>
      <c r="T14" s="78"/>
      <c r="U14" s="78"/>
      <c r="V14" s="78"/>
      <c r="W14" s="78"/>
      <c r="X14" s="78"/>
      <c r="Y14" s="78"/>
      <c r="Z14" s="78"/>
    </row>
    <row r="15" spans="1:26 16384:16384" ht="13.5" customHeight="1">
      <c r="A15" s="57" t="s">
        <v>84</v>
      </c>
      <c r="B15" s="57" t="s">
        <v>81</v>
      </c>
      <c r="C15" s="130"/>
      <c r="D15" s="131" t="s">
        <v>81</v>
      </c>
      <c r="E15" s="123">
        <f t="array" ref="E15">SUMPRODUCT(--('CC Actuals'!$A$7:$A$51="Jutik (New Desalination Plant)")*('CC Actuals'!$B$7:$B$51="Production Costs")*('CC Actuals'!$E$6:$P$6='Financial ACTUALS'!E$4)*('CC Actuals'!$E$7:$P$51))</f>
        <v>125993.22</v>
      </c>
      <c r="F15" s="123">
        <f t="array" ref="F15">SUMPRODUCT(--('CC Actuals'!$A$7:$A$51="Jutik (New Desalination Plant)")*('CC Actuals'!$B$7:$B$51="Production Costs")*('CC Actuals'!$E$6:$P$6='Financial ACTUALS'!F$4)*('CC Actuals'!$E$7:$P$51))</f>
        <v>75075.8</v>
      </c>
      <c r="G15" s="123">
        <f t="array" ref="G15">SUMPRODUCT(--('CC Actuals'!$A$7:$A$51="Jutik (New Desalination Plant)")*('CC Actuals'!$B$7:$B$51="Production Costs")*('CC Actuals'!$E$6:$P$6='Financial ACTUALS'!G$4)*('CC Actuals'!$E$7:$P$51))</f>
        <v>44153.440000000002</v>
      </c>
      <c r="H15" s="123">
        <f t="array" ref="H15">SUMPRODUCT(--('CC Actuals'!$A$7:$A$51="Jutik (New Desalination Plant)")*('CC Actuals'!$B$7:$B$51="Production Costs")*('CC Actuals'!$E$6:$P$6='Financial ACTUALS'!H$4)*('CC Actuals'!$E$7:$P$51))</f>
        <v>71345.01999999999</v>
      </c>
      <c r="I15" s="123">
        <f t="array" ref="I15">SUMPRODUCT(--('CC Actuals'!$A$7:$A$51="Jutik (New Desalination Plant)")*('CC Actuals'!$B$7:$B$51="Production Costs")*('CC Actuals'!$E$6:$P$6='Financial ACTUALS'!I$4)*('CC Actuals'!$E$7:$P$51))</f>
        <v>-20479.969999999998</v>
      </c>
      <c r="J15" s="123">
        <f t="array" ref="J15">SUMPRODUCT(--('CC Actuals'!$A$7:$A$51="Jutik (New Desalination Plant)")*('CC Actuals'!$B$7:$B$51="Production Costs")*('CC Actuals'!$E$6:$P$6='Financial ACTUALS'!J$4)*('CC Actuals'!$E$7:$P$51))</f>
        <v>9632.59</v>
      </c>
      <c r="K15" s="123">
        <f t="array" ref="K15">SUMPRODUCT(--('CC Actuals'!$A$7:$A$51="Jutik (New Desalination Plant)")*('CC Actuals'!$B$7:$B$51="Production Costs")*('CC Actuals'!$E$6:$P$6='Financial ACTUALS'!K$4)*('CC Actuals'!$E$7:$P$51))</f>
        <v>476546.05</v>
      </c>
      <c r="L15" s="123">
        <f t="array" ref="L15">SUMPRODUCT(--('CC Actuals'!$A$7:$A$51="Jutik (New Desalination Plant)")*('CC Actuals'!$B$7:$B$51="Production Costs")*('CC Actuals'!$E$6:$P$6='Financial ACTUALS'!L$4)*('CC Actuals'!$E$7:$P$51))</f>
        <v>464219.42</v>
      </c>
      <c r="M15" s="123">
        <f t="array" ref="M15">SUMPRODUCT(--('CC Actuals'!$A$7:$A$51="Jutik (New Desalination Plant)")*('CC Actuals'!$B$7:$B$51="Production Costs")*('CC Actuals'!$E$6:$P$6='Financial ACTUALS'!M$4)*('CC Actuals'!$E$7:$P$51))</f>
        <v>221113.88999999998</v>
      </c>
      <c r="N15" s="123">
        <f t="array" ref="N15">SUMPRODUCT(--('CC Actuals'!$A$7:$A$51="Jutik (New Desalination Plant)")*('CC Actuals'!$B$7:$B$51="Production Costs")*('CC Actuals'!$E$6:$P$6='Financial ACTUALS'!N$4)*('CC Actuals'!$E$7:$P$51))</f>
        <v>224277.79</v>
      </c>
      <c r="O15" s="123">
        <f t="array" ref="O15">SUMPRODUCT(--('CC Actuals'!$A$7:$A$51="Jutik (New Desalination Plant)")*('CC Actuals'!$B$7:$B$51="Production Costs")*('CC Actuals'!$E$6:$P$6='Financial ACTUALS'!O$4)*('CC Actuals'!$E$7:$P$51))</f>
        <v>263709.95</v>
      </c>
      <c r="P15" s="123">
        <f t="array" ref="P15">SUMPRODUCT(--('CC Actuals'!$A$7:$A$51="Jutik (New Desalination Plant)")*('CC Actuals'!$B$7:$B$51="Production Costs")*('CC Actuals'!$E$6:$P$6='Financial ACTUALS'!P$4)*('CC Actuals'!$E$7:$P$51))</f>
        <v>-77601.91</v>
      </c>
      <c r="Q15" s="124"/>
      <c r="R15" s="78"/>
      <c r="S15" s="78"/>
      <c r="T15" s="78"/>
      <c r="U15" s="78"/>
      <c r="V15" s="78"/>
      <c r="W15" s="78"/>
      <c r="X15" s="78"/>
      <c r="Y15" s="78"/>
      <c r="Z15" s="78"/>
    </row>
    <row r="16" spans="1:26 16384:16384" ht="13.5" customHeight="1">
      <c r="A16" s="57" t="e">
        <v>#REF!</v>
      </c>
      <c r="B16" s="57" t="s">
        <v>82</v>
      </c>
      <c r="C16" s="126"/>
      <c r="D16" s="125" t="s">
        <v>82</v>
      </c>
      <c r="E16" s="123">
        <f t="array" ref="E16">SUMPRODUCT(--('CC Actuals'!$A$7:$A$51="Jutik (New Desalination Plant)")*('CC Actuals'!$B$7:$B$51="Other Production Costs")*('CC Actuals'!$E$6:$P$6='Financial ACTUALS'!E$4)*('CC Actuals'!$E$7:$P$51))</f>
        <v>855.07000000000016</v>
      </c>
      <c r="F16" s="123">
        <f t="array" ref="F16">SUMPRODUCT(--('CC Actuals'!$A$7:$A$51="Jutik (New Desalination Plant)")*('CC Actuals'!$B$7:$B$51="Other Production Costs")*('CC Actuals'!$E$6:$P$6='Financial ACTUALS'!F$4)*('CC Actuals'!$E$7:$P$51))</f>
        <v>8643.11</v>
      </c>
      <c r="G16" s="123">
        <f t="array" ref="G16">SUMPRODUCT(--('CC Actuals'!$A$7:$A$51="Jutik (New Desalination Plant)")*('CC Actuals'!$B$7:$B$51="Other Production Costs")*('CC Actuals'!$E$6:$P$6='Financial ACTUALS'!G$4)*('CC Actuals'!$E$7:$P$51))</f>
        <v>7004.54</v>
      </c>
      <c r="H16" s="123">
        <f t="array" ref="H16">SUMPRODUCT(--('CC Actuals'!$A$7:$A$51="Jutik (New Desalination Plant)")*('CC Actuals'!$B$7:$B$51="Other Production Costs")*('CC Actuals'!$E$6:$P$6='Financial ACTUALS'!H$4)*('CC Actuals'!$E$7:$P$51))</f>
        <v>-4277.2699999999986</v>
      </c>
      <c r="I16" s="123">
        <f t="array" ref="I16">SUMPRODUCT(--('CC Actuals'!$A$7:$A$51="Jutik (New Desalination Plant)")*('CC Actuals'!$B$7:$B$51="Other Production Costs")*('CC Actuals'!$E$6:$P$6='Financial ACTUALS'!I$4)*('CC Actuals'!$E$7:$P$51))</f>
        <v>9314.75</v>
      </c>
      <c r="J16" s="123">
        <f t="array" ref="J16">SUMPRODUCT(--('CC Actuals'!$A$7:$A$51="Jutik (New Desalination Plant)")*('CC Actuals'!$B$7:$B$51="Other Production Costs")*('CC Actuals'!$E$6:$P$6='Financial ACTUALS'!J$4)*('CC Actuals'!$E$7:$P$51))</f>
        <v>8194.59</v>
      </c>
      <c r="K16" s="123">
        <f t="array" ref="K16">SUMPRODUCT(--('CC Actuals'!$A$7:$A$51="Jutik (New Desalination Plant)")*('CC Actuals'!$B$7:$B$51="Other Production Costs")*('CC Actuals'!$E$6:$P$6='Financial ACTUALS'!K$4)*('CC Actuals'!$E$7:$P$51))</f>
        <v>12985.24</v>
      </c>
      <c r="L16" s="123">
        <f t="array" ref="L16">SUMPRODUCT(--('CC Actuals'!$A$7:$A$51="Jutik (New Desalination Plant)")*('CC Actuals'!$B$7:$B$51="Other Production Costs")*('CC Actuals'!$E$6:$P$6='Financial ACTUALS'!L$4)*('CC Actuals'!$E$7:$P$51))</f>
        <v>8327.32</v>
      </c>
      <c r="M16" s="123">
        <f t="array" ref="M16">SUMPRODUCT(--('CC Actuals'!$A$7:$A$51="Jutik (New Desalination Plant)")*('CC Actuals'!$B$7:$B$51="Other Production Costs")*('CC Actuals'!$E$6:$P$6='Financial ACTUALS'!M$4)*('CC Actuals'!$E$7:$P$51))</f>
        <v>12745.36</v>
      </c>
      <c r="N16" s="123">
        <f t="array" ref="N16">SUMPRODUCT(--('CC Actuals'!$A$7:$A$51="Jutik (New Desalination Plant)")*('CC Actuals'!$B$7:$B$51="Other Production Costs")*('CC Actuals'!$E$6:$P$6='Financial ACTUALS'!N$4)*('CC Actuals'!$E$7:$P$51))</f>
        <v>7073.15</v>
      </c>
      <c r="O16" s="123">
        <f t="array" ref="O16">SUMPRODUCT(--('CC Actuals'!$A$7:$A$51="Jutik (New Desalination Plant)")*('CC Actuals'!$B$7:$B$51="Other Production Costs")*('CC Actuals'!$E$6:$P$6='Financial ACTUALS'!O$4)*('CC Actuals'!$E$7:$P$51))</f>
        <v>8678.7800000000007</v>
      </c>
      <c r="P16" s="123">
        <f t="array" ref="P16">SUMPRODUCT(--('CC Actuals'!$A$7:$A$51="Jutik (New Desalination Plant)")*('CC Actuals'!$B$7:$B$51="Other Production Costs")*('CC Actuals'!$E$6:$P$6='Financial ACTUALS'!P$4)*('CC Actuals'!$E$7:$P$51))</f>
        <v>12419.05</v>
      </c>
      <c r="Q16" s="124"/>
      <c r="R16" s="78"/>
      <c r="S16" s="78"/>
      <c r="T16" s="78"/>
      <c r="U16" s="78"/>
      <c r="V16" s="78"/>
      <c r="W16" s="78"/>
      <c r="X16" s="78"/>
      <c r="Y16" s="78"/>
      <c r="Z16" s="78"/>
      <c r="XFD16" s="126"/>
    </row>
    <row r="17" spans="1:26" ht="13.5" customHeight="1">
      <c r="A17" s="57" t="s">
        <v>59</v>
      </c>
      <c r="B17" s="57" t="s">
        <v>56</v>
      </c>
      <c r="C17" s="128" t="s">
        <v>59</v>
      </c>
      <c r="D17" s="129" t="s">
        <v>56</v>
      </c>
      <c r="E17" s="123">
        <f>E11+E14</f>
        <v>-43177586.469999999</v>
      </c>
      <c r="F17" s="123">
        <f t="shared" ref="F17:P17" si="3">F11+F14</f>
        <v>-41352612.920000002</v>
      </c>
      <c r="G17" s="123">
        <f t="shared" si="3"/>
        <v>-41061301.68</v>
      </c>
      <c r="H17" s="123">
        <f t="shared" si="3"/>
        <v>-37704400.920000002</v>
      </c>
      <c r="I17" s="123">
        <f t="shared" si="3"/>
        <v>-37987218.090000004</v>
      </c>
      <c r="J17" s="123">
        <f t="shared" si="3"/>
        <v>-37884541.239999995</v>
      </c>
      <c r="K17" s="123">
        <f t="shared" si="3"/>
        <v>-54693279.079999998</v>
      </c>
      <c r="L17" s="123">
        <f t="shared" si="3"/>
        <v>-50838283.929999992</v>
      </c>
      <c r="M17" s="123">
        <f t="shared" si="3"/>
        <v>-50128489.950000003</v>
      </c>
      <c r="N17" s="123">
        <f t="shared" si="3"/>
        <v>-43751729.420000002</v>
      </c>
      <c r="O17" s="123">
        <f t="shared" si="3"/>
        <v>-42181248.700000003</v>
      </c>
      <c r="P17" s="123">
        <f t="shared" si="3"/>
        <v>-43906729.969999999</v>
      </c>
      <c r="Q17" s="124"/>
      <c r="R17" s="78"/>
      <c r="S17" s="78"/>
      <c r="T17" s="78"/>
      <c r="U17" s="78"/>
      <c r="V17" s="78"/>
      <c r="W17" s="78"/>
      <c r="X17" s="78"/>
      <c r="Y17" s="78"/>
      <c r="Z17" s="78"/>
    </row>
    <row r="18" spans="1:26" ht="13.5" customHeight="1">
      <c r="A18" s="57" t="s">
        <v>59</v>
      </c>
      <c r="B18" s="57" t="s">
        <v>81</v>
      </c>
      <c r="C18" s="127"/>
      <c r="D18" s="125" t="s">
        <v>81</v>
      </c>
      <c r="E18" s="123">
        <f>E12+E15</f>
        <v>848167.17999999993</v>
      </c>
      <c r="F18" s="123">
        <f t="shared" ref="F18:P18" si="4">F12+F15</f>
        <v>966368.24</v>
      </c>
      <c r="G18" s="123">
        <f t="shared" si="4"/>
        <v>92121.91</v>
      </c>
      <c r="H18" s="123">
        <f t="shared" si="4"/>
        <v>97869.549999999988</v>
      </c>
      <c r="I18" s="123">
        <f t="shared" si="4"/>
        <v>156550.43</v>
      </c>
      <c r="J18" s="123">
        <f t="shared" si="4"/>
        <v>693574.66999999993</v>
      </c>
      <c r="K18" s="123">
        <f t="shared" si="4"/>
        <v>536807.71</v>
      </c>
      <c r="L18" s="123">
        <f t="shared" si="4"/>
        <v>1006975.31</v>
      </c>
      <c r="M18" s="123">
        <f t="shared" si="4"/>
        <v>489816.01</v>
      </c>
      <c r="N18" s="123">
        <f t="shared" si="4"/>
        <v>346881.89</v>
      </c>
      <c r="O18" s="123">
        <f t="shared" si="4"/>
        <v>489605.13</v>
      </c>
      <c r="P18" s="123">
        <f t="shared" si="4"/>
        <v>131234.43</v>
      </c>
      <c r="Q18" s="124"/>
      <c r="R18" s="78"/>
      <c r="S18" s="78"/>
      <c r="T18" s="78"/>
      <c r="U18" s="78"/>
      <c r="V18" s="78"/>
      <c r="W18" s="78"/>
      <c r="X18" s="78"/>
      <c r="Y18" s="78"/>
      <c r="Z18" s="78"/>
    </row>
    <row r="19" spans="1:26" ht="13.5" customHeight="1">
      <c r="A19" s="57" t="e">
        <v>#REF!</v>
      </c>
      <c r="B19" s="57" t="s">
        <v>82</v>
      </c>
      <c r="C19" s="127"/>
      <c r="D19" s="129" t="s">
        <v>82</v>
      </c>
      <c r="E19" s="123">
        <f>E13+E16</f>
        <v>261989.36000000004</v>
      </c>
      <c r="F19" s="123">
        <f t="shared" ref="F19:P19" si="5">F13+F16</f>
        <v>268118.99</v>
      </c>
      <c r="G19" s="123">
        <f t="shared" si="5"/>
        <v>390335.70999999996</v>
      </c>
      <c r="H19" s="123">
        <f t="shared" si="5"/>
        <v>233211.01</v>
      </c>
      <c r="I19" s="123">
        <f t="shared" si="5"/>
        <v>275312.98</v>
      </c>
      <c r="J19" s="123">
        <f t="shared" si="5"/>
        <v>332360.16000000003</v>
      </c>
      <c r="K19" s="123">
        <f t="shared" si="5"/>
        <v>378375.58</v>
      </c>
      <c r="L19" s="123">
        <f t="shared" si="5"/>
        <v>370593.88</v>
      </c>
      <c r="M19" s="123">
        <f t="shared" si="5"/>
        <v>323263.69</v>
      </c>
      <c r="N19" s="123">
        <f t="shared" si="5"/>
        <v>308120.95</v>
      </c>
      <c r="O19" s="123">
        <f t="shared" si="5"/>
        <v>315354.28000000003</v>
      </c>
      <c r="P19" s="123">
        <f t="shared" si="5"/>
        <v>465785.57</v>
      </c>
      <c r="Q19" s="124"/>
      <c r="R19" s="78"/>
      <c r="S19" s="78"/>
      <c r="T19" s="78"/>
      <c r="U19" s="78"/>
      <c r="V19" s="78"/>
      <c r="W19" s="78"/>
      <c r="X19" s="78"/>
      <c r="Y19" s="78"/>
      <c r="Z19" s="78"/>
    </row>
    <row r="20" spans="1:26" customFormat="1" ht="13.5" customHeight="1">
      <c r="A20" s="10" t="e">
        <v>#REF!</v>
      </c>
      <c r="B20" s="10" t="e">
        <v>#REF!</v>
      </c>
      <c r="C20" s="11"/>
      <c r="D20" s="11"/>
      <c r="E20" s="12"/>
      <c r="F20" s="12"/>
      <c r="G20" s="12"/>
      <c r="H20" s="12"/>
      <c r="I20" s="12"/>
      <c r="J20" s="12"/>
      <c r="K20" s="12"/>
      <c r="L20" s="12"/>
      <c r="M20" s="12"/>
      <c r="N20" s="12"/>
      <c r="O20" s="12"/>
      <c r="P20" s="12"/>
      <c r="Q20" s="1"/>
      <c r="R20" s="1"/>
      <c r="S20" s="1"/>
      <c r="T20" s="1"/>
      <c r="U20" s="1"/>
      <c r="V20" s="1"/>
      <c r="W20" s="1"/>
      <c r="X20" s="1"/>
      <c r="Y20" s="1"/>
      <c r="Z20" s="1"/>
    </row>
    <row r="21" spans="1:26" s="143" customFormat="1" ht="49.5" customHeight="1">
      <c r="A21" s="145" t="s">
        <v>85</v>
      </c>
      <c r="B21" s="145" t="e">
        <v>#REF!</v>
      </c>
      <c r="C21" s="146" t="s">
        <v>86</v>
      </c>
      <c r="D21" s="147"/>
      <c r="E21" s="148"/>
      <c r="F21" s="148"/>
      <c r="G21" s="148"/>
      <c r="H21" s="148"/>
      <c r="I21" s="148"/>
      <c r="J21" s="148"/>
      <c r="K21" s="148"/>
      <c r="L21" s="148"/>
      <c r="M21" s="148"/>
      <c r="N21" s="148"/>
      <c r="O21" s="148"/>
      <c r="P21" s="148"/>
      <c r="Q21" s="145"/>
      <c r="R21" s="149"/>
      <c r="S21" s="149"/>
      <c r="T21" s="145"/>
      <c r="U21" s="145"/>
      <c r="V21" s="145"/>
      <c r="W21" s="145"/>
      <c r="X21" s="145"/>
      <c r="Y21" s="145"/>
      <c r="Z21" s="145"/>
    </row>
    <row r="22" spans="1:26" customFormat="1" ht="13.5" customHeight="1">
      <c r="A22" s="13" t="s">
        <v>80</v>
      </c>
      <c r="B22" s="13" t="e">
        <v>#REF!</v>
      </c>
      <c r="C22" s="7" t="s">
        <v>80</v>
      </c>
      <c r="D22" s="14"/>
      <c r="E22" s="15" t="s">
        <v>43</v>
      </c>
      <c r="F22" s="15" t="s">
        <v>44</v>
      </c>
      <c r="G22" s="15" t="s">
        <v>45</v>
      </c>
      <c r="H22" s="15" t="s">
        <v>46</v>
      </c>
      <c r="I22" s="15" t="s">
        <v>47</v>
      </c>
      <c r="J22" s="15" t="s">
        <v>48</v>
      </c>
      <c r="K22" s="15" t="s">
        <v>49</v>
      </c>
      <c r="L22" s="15" t="s">
        <v>50</v>
      </c>
      <c r="M22" s="15" t="s">
        <v>51</v>
      </c>
      <c r="N22" s="15" t="s">
        <v>52</v>
      </c>
      <c r="O22" s="15" t="s">
        <v>53</v>
      </c>
      <c r="P22" s="15" t="s">
        <v>54</v>
      </c>
      <c r="Q22" s="2"/>
      <c r="R22" s="16"/>
      <c r="S22" s="16"/>
      <c r="T22" s="2"/>
      <c r="U22" s="2"/>
      <c r="V22" s="2"/>
      <c r="W22" s="2"/>
      <c r="X22" s="2"/>
      <c r="Y22" s="2"/>
      <c r="Z22" s="2"/>
    </row>
    <row r="23" spans="1:26" customFormat="1" ht="13.5" customHeight="1">
      <c r="A23" s="10" t="s">
        <v>55</v>
      </c>
      <c r="B23" s="10" t="s">
        <v>87</v>
      </c>
      <c r="C23" s="7" t="s">
        <v>55</v>
      </c>
      <c r="D23" s="6" t="s">
        <v>61</v>
      </c>
      <c r="E23" s="5">
        <v>1660775.16</v>
      </c>
      <c r="F23" s="5">
        <v>1882661.78</v>
      </c>
      <c r="G23" s="5">
        <v>1878601.17</v>
      </c>
      <c r="H23" s="5">
        <v>1759792.56</v>
      </c>
      <c r="I23" s="5">
        <v>1854687.19</v>
      </c>
      <c r="J23" s="5">
        <v>1753760.55</v>
      </c>
      <c r="K23" s="5">
        <v>1620793.23</v>
      </c>
      <c r="L23" s="5">
        <v>1915139.62</v>
      </c>
      <c r="M23" s="5">
        <v>1887212.38</v>
      </c>
      <c r="N23" s="5">
        <v>1899981.36</v>
      </c>
      <c r="O23" s="5">
        <v>2063628.24</v>
      </c>
      <c r="P23" s="5">
        <v>1347335.77</v>
      </c>
      <c r="Q23" s="4"/>
      <c r="R23" s="17"/>
      <c r="S23" s="17"/>
      <c r="T23" s="1"/>
      <c r="U23" s="1"/>
      <c r="V23" s="1"/>
      <c r="W23" s="1"/>
      <c r="X23" s="1"/>
      <c r="Y23" s="1"/>
      <c r="Z23" s="1"/>
    </row>
    <row r="24" spans="1:26" customFormat="1" ht="13.5" customHeight="1">
      <c r="A24" s="10" t="s">
        <v>55</v>
      </c>
      <c r="B24" s="10" t="s">
        <v>88</v>
      </c>
      <c r="C24" s="9"/>
      <c r="D24" s="8" t="s">
        <v>72</v>
      </c>
      <c r="E24" s="5">
        <v>7709.15</v>
      </c>
      <c r="F24" s="5">
        <v>1066401.06</v>
      </c>
      <c r="G24" s="5">
        <v>72158.179999999993</v>
      </c>
      <c r="H24" s="5">
        <v>15978.49</v>
      </c>
      <c r="I24" s="5">
        <v>11562.7</v>
      </c>
      <c r="J24" s="5">
        <v>-18117.099999999999</v>
      </c>
      <c r="K24" s="5">
        <v>17085</v>
      </c>
      <c r="L24" s="5">
        <v>17485.009999999998</v>
      </c>
      <c r="M24" s="5">
        <v>46677.75</v>
      </c>
      <c r="N24" s="5">
        <v>16900.28</v>
      </c>
      <c r="O24" s="5">
        <v>48263.63</v>
      </c>
      <c r="P24" s="5">
        <v>250129.47</v>
      </c>
      <c r="Q24" s="4"/>
      <c r="R24" s="17"/>
      <c r="S24" s="17"/>
      <c r="T24" s="1"/>
      <c r="U24" s="1"/>
      <c r="V24" s="1"/>
      <c r="W24" s="1"/>
      <c r="X24" s="1"/>
      <c r="Y24" s="1"/>
      <c r="Z24" s="1"/>
    </row>
    <row r="25" spans="1:26" customFormat="1" ht="13.5" customHeight="1">
      <c r="A25" s="10" t="s">
        <v>55</v>
      </c>
      <c r="B25" s="10" t="s">
        <v>89</v>
      </c>
      <c r="C25" s="9"/>
      <c r="D25" s="8" t="s">
        <v>62</v>
      </c>
      <c r="E25" s="5">
        <v>1685877.8999999899</v>
      </c>
      <c r="F25" s="5">
        <v>1685901.65</v>
      </c>
      <c r="G25" s="5">
        <v>1668238.51999999</v>
      </c>
      <c r="H25" s="5">
        <v>1651823.96</v>
      </c>
      <c r="I25" s="5">
        <v>1659145.69</v>
      </c>
      <c r="J25" s="5">
        <v>1647704.55</v>
      </c>
      <c r="K25" s="5">
        <v>2619960.0499999998</v>
      </c>
      <c r="L25" s="5">
        <v>1647287.49</v>
      </c>
      <c r="M25" s="5">
        <v>1636136.29</v>
      </c>
      <c r="N25" s="5">
        <v>1665275.95</v>
      </c>
      <c r="O25" s="5">
        <v>1689141.38</v>
      </c>
      <c r="P25" s="5">
        <v>2741563.9</v>
      </c>
      <c r="Q25" s="4"/>
      <c r="R25" s="17"/>
      <c r="S25" s="17"/>
      <c r="T25" s="1"/>
      <c r="U25" s="1"/>
      <c r="V25" s="1"/>
      <c r="W25" s="1"/>
      <c r="X25" s="1"/>
      <c r="Y25" s="1"/>
      <c r="Z25" s="1"/>
    </row>
    <row r="26" spans="1:26" customFormat="1" ht="13.5" customHeight="1">
      <c r="A26" s="10" t="s">
        <v>55</v>
      </c>
      <c r="B26" s="10" t="s">
        <v>90</v>
      </c>
      <c r="C26" s="9"/>
      <c r="D26" s="8" t="s">
        <v>63</v>
      </c>
      <c r="E26" s="5">
        <v>878.82</v>
      </c>
      <c r="F26" s="5">
        <v>1006.6</v>
      </c>
      <c r="G26" s="5">
        <v>10537.1</v>
      </c>
      <c r="H26" s="5">
        <v>17428.5</v>
      </c>
      <c r="I26" s="5">
        <v>12490.52</v>
      </c>
      <c r="J26" s="5">
        <v>19369.400000000001</v>
      </c>
      <c r="K26" s="5">
        <v>16824.599999999999</v>
      </c>
      <c r="L26" s="5">
        <v>18901.259999999998</v>
      </c>
      <c r="M26" s="5">
        <v>20589.740000000002</v>
      </c>
      <c r="N26" s="5">
        <v>16258.14</v>
      </c>
      <c r="O26" s="5">
        <v>20075.5</v>
      </c>
      <c r="P26" s="5">
        <v>17316.689999999999</v>
      </c>
      <c r="Q26" s="4"/>
      <c r="R26" s="17"/>
      <c r="S26" s="17"/>
      <c r="T26" s="1"/>
      <c r="U26" s="1"/>
      <c r="V26" s="1"/>
      <c r="W26" s="1"/>
      <c r="X26" s="1"/>
      <c r="Y26" s="1"/>
      <c r="Z26" s="1"/>
    </row>
    <row r="27" spans="1:26" customFormat="1" ht="13.5" customHeight="1">
      <c r="A27" s="13" t="e">
        <v>#REF!</v>
      </c>
      <c r="B27" s="13" t="s">
        <v>91</v>
      </c>
      <c r="C27" s="7"/>
      <c r="D27" s="14" t="s">
        <v>59</v>
      </c>
      <c r="E27" s="15">
        <f>SUM(E23:E26)</f>
        <v>3355241.0299999896</v>
      </c>
      <c r="F27" s="15">
        <f t="shared" ref="F27:P27" si="6">SUM(F23:F26)</f>
        <v>4635971.09</v>
      </c>
      <c r="G27" s="15">
        <f t="shared" si="6"/>
        <v>3629534.96999999</v>
      </c>
      <c r="H27" s="15">
        <f t="shared" si="6"/>
        <v>3445023.51</v>
      </c>
      <c r="I27" s="15">
        <f t="shared" si="6"/>
        <v>3537886.1</v>
      </c>
      <c r="J27" s="15">
        <f t="shared" si="6"/>
        <v>3402717.4</v>
      </c>
      <c r="K27" s="15">
        <f t="shared" si="6"/>
        <v>4274662.879999999</v>
      </c>
      <c r="L27" s="15">
        <f t="shared" si="6"/>
        <v>3598813.38</v>
      </c>
      <c r="M27" s="15">
        <f t="shared" si="6"/>
        <v>3590616.16</v>
      </c>
      <c r="N27" s="15">
        <f t="shared" si="6"/>
        <v>3598415.73</v>
      </c>
      <c r="O27" s="15">
        <f t="shared" si="6"/>
        <v>3821108.75</v>
      </c>
      <c r="P27" s="15">
        <f t="shared" si="6"/>
        <v>4356345.83</v>
      </c>
      <c r="Q27" s="4"/>
      <c r="R27" s="16"/>
      <c r="S27" s="16"/>
      <c r="T27" s="2"/>
      <c r="U27" s="2"/>
      <c r="V27" s="2"/>
      <c r="W27" s="2"/>
      <c r="X27" s="2"/>
      <c r="Y27" s="2"/>
      <c r="Z27" s="2"/>
    </row>
    <row r="28" spans="1:26" customFormat="1" ht="13.5" customHeight="1">
      <c r="A28" s="10" t="s">
        <v>69</v>
      </c>
      <c r="B28" s="10" t="s">
        <v>87</v>
      </c>
      <c r="C28" s="7" t="s">
        <v>69</v>
      </c>
      <c r="D28" s="6" t="s">
        <v>61</v>
      </c>
      <c r="E28" s="5">
        <v>8236650.0599999996</v>
      </c>
      <c r="F28" s="5">
        <v>8019736.71</v>
      </c>
      <c r="G28" s="5">
        <v>6010164.9299999997</v>
      </c>
      <c r="H28" s="5">
        <v>6104730.9699999997</v>
      </c>
      <c r="I28" s="5">
        <v>5605441.4000000004</v>
      </c>
      <c r="J28" s="5">
        <v>4339200.82</v>
      </c>
      <c r="K28" s="5">
        <v>6746235.25</v>
      </c>
      <c r="L28" s="5">
        <v>6392627.5199999996</v>
      </c>
      <c r="M28" s="5">
        <v>6555421.1399999997</v>
      </c>
      <c r="N28" s="5">
        <v>6696727.5300000003</v>
      </c>
      <c r="O28" s="5">
        <v>7848392.9500000002</v>
      </c>
      <c r="P28" s="5">
        <v>4237225.5199999996</v>
      </c>
      <c r="Q28" s="4"/>
      <c r="R28" s="17"/>
      <c r="S28" s="1"/>
      <c r="T28" s="1"/>
      <c r="U28" s="1"/>
      <c r="V28" s="1"/>
      <c r="W28" s="1"/>
      <c r="X28" s="1"/>
      <c r="Y28" s="1"/>
      <c r="Z28" s="1"/>
    </row>
    <row r="29" spans="1:26" customFormat="1" ht="13.5" customHeight="1">
      <c r="A29" s="10" t="s">
        <v>69</v>
      </c>
      <c r="B29" s="10" t="s">
        <v>88</v>
      </c>
      <c r="C29" s="9"/>
      <c r="D29" s="8" t="s">
        <v>72</v>
      </c>
      <c r="E29" s="5">
        <v>575840.04</v>
      </c>
      <c r="F29" s="5">
        <v>742046.31</v>
      </c>
      <c r="G29" s="5">
        <v>3531242.58</v>
      </c>
      <c r="H29" s="5">
        <v>6871281.2999999998</v>
      </c>
      <c r="I29" s="5">
        <v>10153894.52</v>
      </c>
      <c r="J29" s="5">
        <v>2413342.09</v>
      </c>
      <c r="K29" s="5">
        <v>-1735046.71</v>
      </c>
      <c r="L29" s="5">
        <v>142274.4</v>
      </c>
      <c r="M29" s="5">
        <v>30111.13</v>
      </c>
      <c r="N29" s="5">
        <v>-31339</v>
      </c>
      <c r="O29" s="5">
        <v>848921.26</v>
      </c>
      <c r="P29" s="5">
        <v>184027.21</v>
      </c>
      <c r="Q29" s="4"/>
      <c r="R29" s="1"/>
      <c r="S29" s="1"/>
      <c r="T29" s="1"/>
      <c r="U29" s="1"/>
      <c r="V29" s="1"/>
      <c r="W29" s="1"/>
      <c r="X29" s="1"/>
      <c r="Y29" s="1"/>
      <c r="Z29" s="1"/>
    </row>
    <row r="30" spans="1:26" customFormat="1" ht="13.5" customHeight="1">
      <c r="A30" s="10" t="e">
        <v>#REF!</v>
      </c>
      <c r="B30" s="10" t="s">
        <v>89</v>
      </c>
      <c r="C30" s="9"/>
      <c r="D30" s="8" t="s">
        <v>62</v>
      </c>
      <c r="E30" s="5">
        <v>2410257.9</v>
      </c>
      <c r="F30" s="5">
        <v>4486991.42</v>
      </c>
      <c r="G30" s="5">
        <v>4325446.47</v>
      </c>
      <c r="H30" s="5">
        <v>5280190.1399999997</v>
      </c>
      <c r="I30" s="5">
        <v>4134832.09</v>
      </c>
      <c r="J30" s="5">
        <v>3333289.66</v>
      </c>
      <c r="K30" s="5">
        <v>4421187.67</v>
      </c>
      <c r="L30" s="5">
        <v>4776648.3099999996</v>
      </c>
      <c r="M30" s="5">
        <v>3382388.78</v>
      </c>
      <c r="N30" s="5">
        <v>4275968.68</v>
      </c>
      <c r="O30" s="5">
        <v>4142342.03</v>
      </c>
      <c r="P30" s="5">
        <v>2128528.12</v>
      </c>
      <c r="Q30" s="4"/>
      <c r="R30" s="1"/>
      <c r="S30" s="1"/>
      <c r="T30" s="1"/>
      <c r="U30" s="1"/>
      <c r="V30" s="1"/>
      <c r="W30" s="1"/>
      <c r="X30" s="1"/>
      <c r="Y30" s="1"/>
      <c r="Z30" s="1"/>
    </row>
    <row r="31" spans="1:26" customFormat="1" ht="12" customHeight="1" thickBot="1">
      <c r="A31" s="10" t="e">
        <v>#REF!</v>
      </c>
      <c r="B31" s="10" t="s">
        <v>90</v>
      </c>
      <c r="C31" s="9"/>
      <c r="D31" s="8" t="s">
        <v>63</v>
      </c>
      <c r="E31" s="5">
        <v>199665.93</v>
      </c>
      <c r="F31" s="5">
        <v>511931.56</v>
      </c>
      <c r="G31" s="5">
        <v>40986.74</v>
      </c>
      <c r="H31" s="5">
        <v>390996.21</v>
      </c>
      <c r="I31" s="5">
        <v>277530.65000000002</v>
      </c>
      <c r="J31" s="5">
        <v>226542.21</v>
      </c>
      <c r="K31" s="5">
        <v>209630.52</v>
      </c>
      <c r="L31" s="5">
        <v>40707.440000000002</v>
      </c>
      <c r="M31" s="5">
        <v>381418.97</v>
      </c>
      <c r="N31" s="5">
        <v>181359.76</v>
      </c>
      <c r="O31" s="5">
        <v>203449.96</v>
      </c>
      <c r="P31" s="5">
        <v>205591.67</v>
      </c>
      <c r="Q31" s="4"/>
      <c r="R31" s="1"/>
      <c r="S31" s="1"/>
      <c r="T31" s="1"/>
      <c r="U31" s="1"/>
      <c r="V31" s="1"/>
      <c r="W31" s="1"/>
      <c r="X31" s="1"/>
      <c r="Y31" s="1"/>
      <c r="Z31" s="1"/>
    </row>
    <row r="32" spans="1:26" customFormat="1" ht="12" customHeight="1">
      <c r="A32" s="13" t="e">
        <v>#REF!</v>
      </c>
      <c r="B32" s="13" t="s">
        <v>91</v>
      </c>
      <c r="C32" s="18"/>
      <c r="D32" s="19" t="s">
        <v>59</v>
      </c>
      <c r="E32" s="15">
        <f>SUM(E28:E31)</f>
        <v>11422413.93</v>
      </c>
      <c r="F32" s="15">
        <f t="shared" ref="F32:P32" si="7">SUM(F28:F31)</f>
        <v>13760706</v>
      </c>
      <c r="G32" s="15">
        <f t="shared" si="7"/>
        <v>13907840.720000001</v>
      </c>
      <c r="H32" s="15">
        <f t="shared" si="7"/>
        <v>18647198.620000001</v>
      </c>
      <c r="I32" s="15">
        <f t="shared" si="7"/>
        <v>20171698.659999996</v>
      </c>
      <c r="J32" s="15">
        <f t="shared" si="7"/>
        <v>10312374.780000001</v>
      </c>
      <c r="K32" s="15">
        <f t="shared" si="7"/>
        <v>9642006.7300000004</v>
      </c>
      <c r="L32" s="15">
        <f t="shared" si="7"/>
        <v>11352257.67</v>
      </c>
      <c r="M32" s="15">
        <f t="shared" si="7"/>
        <v>10349340.02</v>
      </c>
      <c r="N32" s="15">
        <f t="shared" si="7"/>
        <v>11122716.970000001</v>
      </c>
      <c r="O32" s="15">
        <f t="shared" si="7"/>
        <v>13043106.200000001</v>
      </c>
      <c r="P32" s="15">
        <f t="shared" si="7"/>
        <v>6755372.5199999996</v>
      </c>
      <c r="Q32" s="4"/>
      <c r="R32" s="2"/>
      <c r="S32" s="2"/>
      <c r="T32" s="2"/>
      <c r="U32" s="2"/>
      <c r="V32" s="2"/>
      <c r="W32" s="2"/>
      <c r="X32" s="2"/>
      <c r="Y32" s="2"/>
      <c r="Z32" s="2"/>
    </row>
    <row r="33" spans="1:26" customFormat="1" ht="12" customHeight="1">
      <c r="A33" s="10" t="s">
        <v>84</v>
      </c>
      <c r="B33" s="10" t="e">
        <v>#REF!</v>
      </c>
      <c r="C33" s="7" t="s">
        <v>84</v>
      </c>
      <c r="D33" s="8"/>
      <c r="E33" s="5"/>
      <c r="F33" s="5"/>
      <c r="G33" s="5"/>
      <c r="H33" s="5"/>
      <c r="I33" s="5"/>
      <c r="J33" s="5"/>
      <c r="K33" s="5"/>
      <c r="L33" s="5"/>
      <c r="M33" s="5"/>
      <c r="N33" s="5"/>
      <c r="O33" s="5"/>
      <c r="P33" s="5"/>
      <c r="Q33" s="4"/>
      <c r="R33" s="1"/>
      <c r="S33" s="1"/>
      <c r="T33" s="1"/>
      <c r="U33" s="1"/>
      <c r="V33" s="1"/>
      <c r="W33" s="1"/>
      <c r="X33" s="1"/>
      <c r="Y33" s="1"/>
      <c r="Z33" s="1"/>
    </row>
    <row r="34" spans="1:26" customFormat="1" ht="12" customHeight="1">
      <c r="A34" s="10" t="s">
        <v>84</v>
      </c>
      <c r="B34" s="10" t="s">
        <v>87</v>
      </c>
      <c r="C34" s="9"/>
      <c r="D34" s="8" t="s">
        <v>61</v>
      </c>
      <c r="E34" s="5">
        <v>1584926.3</v>
      </c>
      <c r="F34" s="5">
        <v>1965578.13</v>
      </c>
      <c r="G34" s="5">
        <v>1710315.75</v>
      </c>
      <c r="H34" s="5">
        <v>1970319.43</v>
      </c>
      <c r="I34" s="5">
        <v>1676646.07</v>
      </c>
      <c r="J34" s="5">
        <v>1665841.08</v>
      </c>
      <c r="K34" s="5">
        <v>2913995.81</v>
      </c>
      <c r="L34" s="5">
        <v>1779367.99</v>
      </c>
      <c r="M34" s="5">
        <v>1105732.53</v>
      </c>
      <c r="N34" s="5">
        <v>528678.19999999995</v>
      </c>
      <c r="O34" s="5">
        <v>782268.79</v>
      </c>
      <c r="P34" s="5">
        <v>1275673.75</v>
      </c>
      <c r="Q34" s="4"/>
      <c r="R34" s="1"/>
      <c r="S34" s="1"/>
      <c r="T34" s="1"/>
      <c r="U34" s="1"/>
      <c r="V34" s="1"/>
      <c r="W34" s="1"/>
      <c r="X34" s="1"/>
      <c r="Y34" s="1"/>
      <c r="Z34" s="1"/>
    </row>
    <row r="35" spans="1:26" customFormat="1" ht="12" customHeight="1">
      <c r="A35" s="10" t="s">
        <v>84</v>
      </c>
      <c r="B35" s="10" t="s">
        <v>88</v>
      </c>
      <c r="C35" s="9"/>
      <c r="D35" s="8" t="s">
        <v>72</v>
      </c>
      <c r="E35" s="5">
        <v>1275400.27</v>
      </c>
      <c r="F35" s="5">
        <v>1150303.1499999999</v>
      </c>
      <c r="G35" s="5">
        <v>1716925.39</v>
      </c>
      <c r="H35" s="5">
        <v>643390.05000000005</v>
      </c>
      <c r="I35" s="5">
        <v>929947.65</v>
      </c>
      <c r="J35" s="5">
        <v>168938.16</v>
      </c>
      <c r="K35" s="5">
        <v>-416525.42</v>
      </c>
      <c r="L35" s="5">
        <v>-36101.42</v>
      </c>
      <c r="M35" s="5">
        <v>1480756.03</v>
      </c>
      <c r="N35" s="5">
        <v>434296.79</v>
      </c>
      <c r="O35" s="5">
        <v>468872.97</v>
      </c>
      <c r="P35" s="5">
        <v>1844875.1</v>
      </c>
      <c r="Q35" s="4"/>
      <c r="R35" s="1"/>
      <c r="S35" s="1"/>
      <c r="T35" s="1"/>
      <c r="U35" s="1"/>
      <c r="V35" s="1"/>
      <c r="W35" s="1"/>
      <c r="X35" s="1"/>
      <c r="Y35" s="1"/>
      <c r="Z35" s="1"/>
    </row>
    <row r="36" spans="1:26" customFormat="1" ht="12" customHeight="1">
      <c r="A36" s="10" t="e">
        <v>#REF!</v>
      </c>
      <c r="B36" s="10" t="s">
        <v>89</v>
      </c>
      <c r="C36" s="9"/>
      <c r="D36" s="8" t="s">
        <v>62</v>
      </c>
      <c r="E36" s="5">
        <v>1813732.65</v>
      </c>
      <c r="F36" s="5">
        <v>1048170.75</v>
      </c>
      <c r="G36" s="5">
        <v>1872648.41</v>
      </c>
      <c r="H36" s="5">
        <v>1889759.54</v>
      </c>
      <c r="I36" s="5">
        <v>1113563.7</v>
      </c>
      <c r="J36" s="5">
        <v>1034356.38</v>
      </c>
      <c r="K36" s="5">
        <v>269892.73</v>
      </c>
      <c r="L36" s="5">
        <v>919150.37</v>
      </c>
      <c r="M36" s="5">
        <v>942683.48</v>
      </c>
      <c r="N36" s="5">
        <v>995364.67</v>
      </c>
      <c r="O36" s="5">
        <v>1011943.25</v>
      </c>
      <c r="P36" s="5">
        <v>1223544.05</v>
      </c>
      <c r="Q36" s="4"/>
      <c r="R36" s="1"/>
      <c r="S36" s="1"/>
      <c r="T36" s="1"/>
      <c r="U36" s="1"/>
      <c r="V36" s="1"/>
      <c r="W36" s="1"/>
      <c r="X36" s="1"/>
      <c r="Y36" s="1"/>
      <c r="Z36" s="1"/>
    </row>
    <row r="37" spans="1:26" customFormat="1" ht="12" customHeight="1">
      <c r="A37" s="10" t="e">
        <v>#REF!</v>
      </c>
      <c r="B37" s="10" t="s">
        <v>92</v>
      </c>
      <c r="C37" s="9"/>
      <c r="D37" s="8" t="s">
        <v>70</v>
      </c>
      <c r="E37" s="5">
        <v>24299.040000000001</v>
      </c>
      <c r="F37" s="5">
        <v>10507.23</v>
      </c>
      <c r="G37" s="5">
        <v>16048.67</v>
      </c>
      <c r="H37" s="5">
        <v>-1397.87</v>
      </c>
      <c r="I37" s="5">
        <v>53153.16</v>
      </c>
      <c r="J37" s="5">
        <v>-42386.63</v>
      </c>
      <c r="K37" s="5">
        <v>-15946.92</v>
      </c>
      <c r="L37" s="5">
        <v>16406.28</v>
      </c>
      <c r="M37" s="5">
        <v>10269.700000000001</v>
      </c>
      <c r="N37" s="5">
        <v>40859.49</v>
      </c>
      <c r="O37" s="5">
        <v>114800.28</v>
      </c>
      <c r="P37" s="5">
        <v>281820.46000000002</v>
      </c>
      <c r="Q37" s="4"/>
      <c r="R37" s="1"/>
      <c r="S37" s="1"/>
      <c r="T37" s="1"/>
      <c r="U37" s="1"/>
      <c r="V37" s="1"/>
      <c r="W37" s="1"/>
      <c r="X37" s="1"/>
      <c r="Y37" s="1"/>
      <c r="Z37" s="1"/>
    </row>
    <row r="38" spans="1:26" customFormat="1" ht="12" customHeight="1">
      <c r="A38" s="10" t="e">
        <v>#REF!</v>
      </c>
      <c r="B38" s="10" t="s">
        <v>90</v>
      </c>
      <c r="C38" s="9"/>
      <c r="D38" s="8" t="s">
        <v>63</v>
      </c>
      <c r="E38" s="5">
        <v>457109.56</v>
      </c>
      <c r="F38" s="5">
        <v>-67339.98</v>
      </c>
      <c r="G38" s="5">
        <v>236049.1</v>
      </c>
      <c r="H38" s="5">
        <v>167955.29</v>
      </c>
      <c r="I38" s="5">
        <v>197957.81</v>
      </c>
      <c r="J38" s="5">
        <v>117851.06</v>
      </c>
      <c r="K38" s="5">
        <v>392402.96</v>
      </c>
      <c r="L38" s="5">
        <v>20863.52</v>
      </c>
      <c r="M38" s="5">
        <v>256058.33</v>
      </c>
      <c r="N38" s="5">
        <v>67489.41</v>
      </c>
      <c r="O38" s="5">
        <v>290816.99</v>
      </c>
      <c r="P38" s="5">
        <v>135589.07</v>
      </c>
      <c r="Q38" s="4"/>
      <c r="R38" s="1"/>
      <c r="S38" s="1"/>
      <c r="T38" s="1"/>
      <c r="U38" s="1"/>
      <c r="V38" s="1"/>
      <c r="W38" s="1"/>
      <c r="X38" s="1"/>
      <c r="Y38" s="1"/>
      <c r="Z38" s="1"/>
    </row>
    <row r="39" spans="1:26" customFormat="1" ht="12" customHeight="1">
      <c r="A39" s="10" t="e">
        <v>#REF!</v>
      </c>
      <c r="B39" s="10" t="s">
        <v>91</v>
      </c>
      <c r="C39" s="9"/>
      <c r="D39" s="20" t="s">
        <v>59</v>
      </c>
      <c r="E39" s="15">
        <f>SUM(E34:E38)</f>
        <v>5155467.82</v>
      </c>
      <c r="F39" s="15">
        <f t="shared" ref="F39:P39" si="8">SUM(F34:F38)</f>
        <v>4107219.28</v>
      </c>
      <c r="G39" s="15">
        <f t="shared" si="8"/>
        <v>5551987.3199999994</v>
      </c>
      <c r="H39" s="15">
        <f t="shared" si="8"/>
        <v>4670026.4399999995</v>
      </c>
      <c r="I39" s="15">
        <f t="shared" si="8"/>
        <v>3971268.39</v>
      </c>
      <c r="J39" s="15">
        <f t="shared" si="8"/>
        <v>2944600.0500000003</v>
      </c>
      <c r="K39" s="15">
        <f t="shared" si="8"/>
        <v>3143819.16</v>
      </c>
      <c r="L39" s="15">
        <f t="shared" si="8"/>
        <v>2699686.7399999998</v>
      </c>
      <c r="M39" s="15">
        <f t="shared" si="8"/>
        <v>3795500.0700000003</v>
      </c>
      <c r="N39" s="15">
        <f t="shared" si="8"/>
        <v>2066688.56</v>
      </c>
      <c r="O39" s="15">
        <f t="shared" si="8"/>
        <v>2668702.2799999993</v>
      </c>
      <c r="P39" s="15">
        <f t="shared" si="8"/>
        <v>4761502.4300000006</v>
      </c>
      <c r="Q39" s="1"/>
      <c r="R39" s="1"/>
      <c r="S39" s="1"/>
      <c r="T39" s="1"/>
      <c r="U39" s="1"/>
      <c r="V39" s="1"/>
      <c r="W39" s="1"/>
      <c r="X39" s="1"/>
      <c r="Y39" s="1"/>
      <c r="Z39" s="1"/>
    </row>
    <row r="40" spans="1:26" s="143" customFormat="1" ht="36.950000000000003" customHeight="1">
      <c r="A40" s="150"/>
      <c r="B40" s="150"/>
      <c r="C40" s="155" t="s">
        <v>93</v>
      </c>
      <c r="D40" s="151"/>
      <c r="E40" s="152"/>
      <c r="F40" s="152"/>
      <c r="G40" s="152"/>
      <c r="H40" s="152"/>
      <c r="I40" s="152"/>
      <c r="J40" s="152"/>
      <c r="K40" s="152"/>
      <c r="L40" s="152"/>
      <c r="M40" s="152"/>
      <c r="N40" s="152"/>
      <c r="O40" s="152"/>
      <c r="P40" s="152"/>
      <c r="Q40" s="150"/>
      <c r="R40" s="150"/>
      <c r="S40" s="150"/>
      <c r="T40" s="150"/>
      <c r="U40" s="150"/>
      <c r="V40" s="150"/>
      <c r="W40" s="150"/>
      <c r="X40" s="150"/>
      <c r="Y40" s="150"/>
      <c r="Z40" s="150"/>
    </row>
    <row r="41" spans="1:26" ht="12" customHeight="1">
      <c r="A41" s="57" t="s">
        <v>94</v>
      </c>
      <c r="B41" s="57" t="e">
        <v>#REF!</v>
      </c>
      <c r="C41" s="153" t="s">
        <v>94</v>
      </c>
      <c r="D41" s="122"/>
      <c r="E41" s="121" t="s">
        <v>43</v>
      </c>
      <c r="F41" s="121" t="s">
        <v>44</v>
      </c>
      <c r="G41" s="121" t="s">
        <v>45</v>
      </c>
      <c r="H41" s="121" t="s">
        <v>46</v>
      </c>
      <c r="I41" s="121" t="s">
        <v>47</v>
      </c>
      <c r="J41" s="121" t="s">
        <v>48</v>
      </c>
      <c r="K41" s="121" t="s">
        <v>49</v>
      </c>
      <c r="L41" s="121" t="s">
        <v>50</v>
      </c>
      <c r="M41" s="121" t="s">
        <v>51</v>
      </c>
      <c r="N41" s="121" t="s">
        <v>52</v>
      </c>
      <c r="O41" s="121" t="s">
        <v>53</v>
      </c>
      <c r="P41" s="121" t="s">
        <v>54</v>
      </c>
      <c r="Q41" s="81"/>
      <c r="R41" s="78"/>
      <c r="S41" s="78"/>
      <c r="T41" s="78"/>
      <c r="U41" s="78"/>
      <c r="V41" s="78"/>
      <c r="W41" s="78"/>
      <c r="X41" s="78"/>
      <c r="Y41" s="78"/>
      <c r="Z41" s="78"/>
    </row>
    <row r="42" spans="1:26" ht="12" customHeight="1">
      <c r="A42" s="57" t="s">
        <v>94</v>
      </c>
      <c r="B42" s="57" t="s">
        <v>87</v>
      </c>
      <c r="C42" s="126"/>
      <c r="D42" s="125" t="s">
        <v>61</v>
      </c>
      <c r="E42" s="126">
        <f>SUMIFS(E$23:E$39,$D$23:$D$39,$D42)</f>
        <v>11482351.52</v>
      </c>
      <c r="F42" s="126">
        <f t="shared" ref="F42:P42" si="9">SUMIFS(F$23:F$39,$D$23:$D$39,$D42)</f>
        <v>11867976.620000001</v>
      </c>
      <c r="G42" s="126">
        <f t="shared" si="9"/>
        <v>9599081.8499999996</v>
      </c>
      <c r="H42" s="126">
        <f t="shared" si="9"/>
        <v>9834842.959999999</v>
      </c>
      <c r="I42" s="126">
        <f t="shared" si="9"/>
        <v>9136774.6600000001</v>
      </c>
      <c r="J42" s="126">
        <f t="shared" si="9"/>
        <v>7758802.4500000002</v>
      </c>
      <c r="K42" s="126">
        <f t="shared" si="9"/>
        <v>11281024.290000001</v>
      </c>
      <c r="L42" s="126">
        <f t="shared" si="9"/>
        <v>10087135.129999999</v>
      </c>
      <c r="M42" s="126">
        <f t="shared" si="9"/>
        <v>9548366.0499999989</v>
      </c>
      <c r="N42" s="126">
        <f t="shared" si="9"/>
        <v>9125387.0899999999</v>
      </c>
      <c r="O42" s="126">
        <f t="shared" si="9"/>
        <v>10694289.98</v>
      </c>
      <c r="P42" s="126">
        <f t="shared" si="9"/>
        <v>6860235.0399999991</v>
      </c>
      <c r="Q42" s="124"/>
      <c r="R42" s="78"/>
      <c r="S42" s="78"/>
      <c r="T42" s="78"/>
      <c r="U42" s="78"/>
      <c r="V42" s="78"/>
      <c r="W42" s="78"/>
      <c r="X42" s="78"/>
      <c r="Y42" s="78"/>
      <c r="Z42" s="78"/>
    </row>
    <row r="43" spans="1:26" ht="12" customHeight="1">
      <c r="A43" s="57" t="s">
        <v>94</v>
      </c>
      <c r="B43" s="57" t="s">
        <v>88</v>
      </c>
      <c r="C43" s="127"/>
      <c r="D43" s="129" t="s">
        <v>72</v>
      </c>
      <c r="E43" s="126">
        <f t="shared" ref="E43:P46" si="10">SUMIFS(E$23:E$39,$D$23:$D$39,$D43)</f>
        <v>1858949.46</v>
      </c>
      <c r="F43" s="126">
        <f t="shared" si="10"/>
        <v>2958750.52</v>
      </c>
      <c r="G43" s="126">
        <f t="shared" si="10"/>
        <v>5320326.1500000004</v>
      </c>
      <c r="H43" s="126">
        <f t="shared" si="10"/>
        <v>7530649.8399999999</v>
      </c>
      <c r="I43" s="126">
        <f t="shared" si="10"/>
        <v>11095404.869999999</v>
      </c>
      <c r="J43" s="126">
        <f t="shared" si="10"/>
        <v>2564163.15</v>
      </c>
      <c r="K43" s="126">
        <f t="shared" si="10"/>
        <v>-2134487.13</v>
      </c>
      <c r="L43" s="126">
        <f t="shared" si="10"/>
        <v>123657.99</v>
      </c>
      <c r="M43" s="126">
        <f t="shared" si="10"/>
        <v>1557544.9100000001</v>
      </c>
      <c r="N43" s="126">
        <f t="shared" si="10"/>
        <v>419858.06999999995</v>
      </c>
      <c r="O43" s="126">
        <f t="shared" si="10"/>
        <v>1366057.8599999999</v>
      </c>
      <c r="P43" s="126">
        <f t="shared" si="10"/>
        <v>2279031.7800000003</v>
      </c>
      <c r="Q43" s="124"/>
      <c r="R43" s="78"/>
      <c r="S43" s="78"/>
      <c r="T43" s="78"/>
      <c r="U43" s="78"/>
      <c r="V43" s="78"/>
      <c r="W43" s="78"/>
      <c r="X43" s="78"/>
      <c r="Y43" s="78"/>
      <c r="Z43" s="78"/>
    </row>
    <row r="44" spans="1:26" ht="12" customHeight="1">
      <c r="A44" s="57" t="s">
        <v>94</v>
      </c>
      <c r="B44" s="57" t="s">
        <v>89</v>
      </c>
      <c r="C44" s="127"/>
      <c r="D44" s="129" t="s">
        <v>62</v>
      </c>
      <c r="E44" s="126">
        <f t="shared" si="10"/>
        <v>5909868.4499999899</v>
      </c>
      <c r="F44" s="126">
        <f t="shared" si="10"/>
        <v>7221063.8200000003</v>
      </c>
      <c r="G44" s="126">
        <f t="shared" si="10"/>
        <v>7866333.3999999901</v>
      </c>
      <c r="H44" s="126">
        <f t="shared" si="10"/>
        <v>8821773.6400000006</v>
      </c>
      <c r="I44" s="126">
        <f t="shared" si="10"/>
        <v>6907541.4799999995</v>
      </c>
      <c r="J44" s="126">
        <f t="shared" si="10"/>
        <v>6015350.5899999999</v>
      </c>
      <c r="K44" s="126">
        <f t="shared" si="10"/>
        <v>7311040.4499999993</v>
      </c>
      <c r="L44" s="126">
        <f t="shared" si="10"/>
        <v>7343086.1699999999</v>
      </c>
      <c r="M44" s="126">
        <f t="shared" si="10"/>
        <v>5961208.5500000007</v>
      </c>
      <c r="N44" s="126">
        <f t="shared" si="10"/>
        <v>6936609.2999999998</v>
      </c>
      <c r="O44" s="126">
        <f t="shared" si="10"/>
        <v>6843426.6600000001</v>
      </c>
      <c r="P44" s="126">
        <f t="shared" si="10"/>
        <v>6093636.0699999994</v>
      </c>
      <c r="Q44" s="124"/>
      <c r="R44" s="78"/>
      <c r="S44" s="78"/>
      <c r="T44" s="78"/>
      <c r="U44" s="78"/>
      <c r="V44" s="78"/>
      <c r="W44" s="78"/>
      <c r="X44" s="78"/>
      <c r="Y44" s="78"/>
      <c r="Z44" s="78"/>
    </row>
    <row r="45" spans="1:26" ht="12" customHeight="1">
      <c r="A45" s="57" t="s">
        <v>94</v>
      </c>
      <c r="B45" s="57" t="s">
        <v>90</v>
      </c>
      <c r="C45" s="127"/>
      <c r="D45" s="129" t="s">
        <v>70</v>
      </c>
      <c r="E45" s="126">
        <f t="shared" si="10"/>
        <v>24299.040000000001</v>
      </c>
      <c r="F45" s="126">
        <f t="shared" si="10"/>
        <v>10507.23</v>
      </c>
      <c r="G45" s="126">
        <f t="shared" si="10"/>
        <v>16048.67</v>
      </c>
      <c r="H45" s="126">
        <f t="shared" si="10"/>
        <v>-1397.87</v>
      </c>
      <c r="I45" s="126">
        <f t="shared" si="10"/>
        <v>53153.16</v>
      </c>
      <c r="J45" s="126">
        <f t="shared" si="10"/>
        <v>-42386.63</v>
      </c>
      <c r="K45" s="126">
        <f t="shared" si="10"/>
        <v>-15946.92</v>
      </c>
      <c r="L45" s="126">
        <f t="shared" si="10"/>
        <v>16406.28</v>
      </c>
      <c r="M45" s="126">
        <f t="shared" si="10"/>
        <v>10269.700000000001</v>
      </c>
      <c r="N45" s="126">
        <f t="shared" si="10"/>
        <v>40859.49</v>
      </c>
      <c r="O45" s="126">
        <f t="shared" si="10"/>
        <v>114800.28</v>
      </c>
      <c r="P45" s="126">
        <f t="shared" si="10"/>
        <v>281820.46000000002</v>
      </c>
      <c r="Q45" s="124"/>
      <c r="R45" s="78"/>
      <c r="S45" s="78"/>
      <c r="T45" s="78"/>
      <c r="U45" s="78"/>
      <c r="V45" s="78"/>
      <c r="W45" s="78"/>
      <c r="X45" s="78"/>
      <c r="Y45" s="78"/>
      <c r="Z45" s="78"/>
    </row>
    <row r="46" spans="1:26" ht="12" customHeight="1">
      <c r="A46" s="57" t="s">
        <v>94</v>
      </c>
      <c r="B46" s="57" t="s">
        <v>92</v>
      </c>
      <c r="C46" s="127"/>
      <c r="D46" s="129" t="s">
        <v>63</v>
      </c>
      <c r="E46" s="126">
        <f t="shared" si="10"/>
        <v>657654.31000000006</v>
      </c>
      <c r="F46" s="126">
        <f t="shared" si="10"/>
        <v>445598.18</v>
      </c>
      <c r="G46" s="126">
        <f t="shared" si="10"/>
        <v>287572.94</v>
      </c>
      <c r="H46" s="126">
        <f t="shared" si="10"/>
        <v>576380</v>
      </c>
      <c r="I46" s="126">
        <f t="shared" si="10"/>
        <v>487978.98000000004</v>
      </c>
      <c r="J46" s="126">
        <f t="shared" si="10"/>
        <v>363762.67</v>
      </c>
      <c r="K46" s="126">
        <f t="shared" si="10"/>
        <v>618858.08000000007</v>
      </c>
      <c r="L46" s="126">
        <f t="shared" si="10"/>
        <v>80472.22</v>
      </c>
      <c r="M46" s="126">
        <f t="shared" si="10"/>
        <v>658067.03999999992</v>
      </c>
      <c r="N46" s="126">
        <f t="shared" si="10"/>
        <v>265107.31000000006</v>
      </c>
      <c r="O46" s="126">
        <f t="shared" si="10"/>
        <v>514342.44999999995</v>
      </c>
      <c r="P46" s="126">
        <f t="shared" si="10"/>
        <v>358497.43000000005</v>
      </c>
      <c r="Q46" s="124"/>
      <c r="R46" s="78"/>
      <c r="S46" s="78"/>
      <c r="T46" s="78"/>
      <c r="U46" s="78"/>
      <c r="V46" s="78"/>
      <c r="W46" s="78"/>
      <c r="X46" s="78"/>
      <c r="Y46" s="78"/>
      <c r="Z46" s="78"/>
    </row>
    <row r="47" spans="1:26" ht="12" customHeight="1">
      <c r="A47" s="57" t="s">
        <v>94</v>
      </c>
      <c r="B47" s="57" t="s">
        <v>92</v>
      </c>
      <c r="C47" s="127"/>
      <c r="D47" s="129"/>
      <c r="E47" s="126">
        <f>SUM(E42:E46)</f>
        <v>19933122.77999999</v>
      </c>
      <c r="F47" s="126"/>
      <c r="G47" s="126"/>
      <c r="H47" s="126"/>
      <c r="I47" s="126"/>
      <c r="J47" s="126"/>
      <c r="K47" s="126"/>
      <c r="L47" s="126"/>
      <c r="M47" s="126"/>
      <c r="N47" s="126"/>
      <c r="O47" s="126"/>
      <c r="P47" s="126"/>
      <c r="Q47" s="78"/>
      <c r="R47" s="78"/>
      <c r="S47" s="78"/>
      <c r="T47" s="78"/>
      <c r="U47" s="78"/>
      <c r="V47" s="78"/>
      <c r="W47" s="78"/>
      <c r="X47" s="78"/>
      <c r="Y47" s="78"/>
      <c r="Z47" s="78"/>
    </row>
    <row r="48" spans="1:26" ht="12" customHeight="1">
      <c r="A48" s="57" t="s">
        <v>94</v>
      </c>
      <c r="B48" s="57" t="s">
        <v>92</v>
      </c>
      <c r="C48" s="127"/>
      <c r="D48" s="125"/>
      <c r="E48" s="126"/>
      <c r="F48" s="126"/>
      <c r="G48" s="126"/>
      <c r="H48" s="126"/>
      <c r="I48" s="126"/>
      <c r="J48" s="126"/>
      <c r="K48" s="126"/>
      <c r="L48" s="126"/>
      <c r="M48" s="126"/>
      <c r="N48" s="126"/>
      <c r="O48" s="126"/>
      <c r="P48" s="126"/>
      <c r="Q48" s="78"/>
      <c r="R48" s="78"/>
      <c r="S48" s="78"/>
      <c r="T48" s="78"/>
      <c r="U48" s="78"/>
      <c r="V48" s="78"/>
      <c r="W48" s="78"/>
      <c r="X48" s="78"/>
      <c r="Y48" s="78"/>
      <c r="Z48" s="78"/>
    </row>
    <row r="49" spans="1:26" ht="12" customHeight="1">
      <c r="A49" s="57" t="s">
        <v>94</v>
      </c>
      <c r="B49" s="57" t="s">
        <v>92</v>
      </c>
      <c r="C49" s="127"/>
      <c r="D49" s="129"/>
      <c r="E49" s="126"/>
      <c r="F49" s="126"/>
      <c r="G49" s="126"/>
      <c r="H49" s="126"/>
      <c r="I49" s="126"/>
      <c r="J49" s="126"/>
      <c r="K49" s="126"/>
      <c r="L49" s="126"/>
      <c r="M49" s="126"/>
      <c r="N49" s="126"/>
      <c r="O49" s="126"/>
      <c r="P49" s="126"/>
      <c r="Q49" s="78"/>
      <c r="R49" s="78"/>
      <c r="S49" s="78"/>
      <c r="T49" s="78"/>
      <c r="U49" s="78"/>
      <c r="V49" s="78"/>
      <c r="W49" s="78"/>
      <c r="X49" s="78"/>
      <c r="Y49" s="78"/>
      <c r="Z49" s="78"/>
    </row>
    <row r="50" spans="1:26" ht="12" customHeight="1">
      <c r="A50" s="57" t="s">
        <v>94</v>
      </c>
      <c r="B50" s="57" t="s">
        <v>92</v>
      </c>
      <c r="C50" s="127"/>
      <c r="D50" s="125"/>
      <c r="E50" s="126"/>
      <c r="F50" s="126"/>
      <c r="G50" s="126"/>
      <c r="H50" s="126"/>
      <c r="I50" s="126"/>
      <c r="J50" s="126"/>
      <c r="K50" s="126"/>
      <c r="L50" s="126"/>
      <c r="M50" s="126"/>
      <c r="N50" s="126"/>
      <c r="O50" s="126"/>
      <c r="P50" s="126"/>
      <c r="Q50" s="78"/>
      <c r="R50" s="78"/>
      <c r="S50" s="78"/>
      <c r="T50" s="78"/>
      <c r="U50" s="78"/>
      <c r="V50" s="78"/>
      <c r="W50" s="78"/>
      <c r="X50" s="78"/>
      <c r="Y50" s="78"/>
      <c r="Z50" s="78"/>
    </row>
    <row r="51" spans="1:26" ht="12" customHeight="1">
      <c r="A51" s="57" t="s">
        <v>94</v>
      </c>
      <c r="B51" s="57" t="s">
        <v>92</v>
      </c>
      <c r="C51" s="127"/>
      <c r="D51" s="129"/>
      <c r="E51" s="126"/>
      <c r="F51" s="126"/>
      <c r="G51" s="126"/>
      <c r="H51" s="126"/>
      <c r="I51" s="126"/>
      <c r="J51" s="126"/>
      <c r="K51" s="126"/>
      <c r="L51" s="126"/>
      <c r="M51" s="126"/>
      <c r="N51" s="126"/>
      <c r="O51" s="126"/>
      <c r="P51" s="126"/>
      <c r="Q51" s="78"/>
      <c r="R51" s="78"/>
      <c r="S51" s="78"/>
      <c r="T51" s="78"/>
      <c r="U51" s="78"/>
      <c r="V51" s="78"/>
      <c r="W51" s="78"/>
      <c r="X51" s="78"/>
      <c r="Y51" s="78"/>
      <c r="Z51" s="78"/>
    </row>
    <row r="52" spans="1:26" ht="12" customHeight="1">
      <c r="A52" s="57" t="s">
        <v>94</v>
      </c>
      <c r="B52" s="57" t="s">
        <v>92</v>
      </c>
      <c r="C52" s="127"/>
      <c r="D52" s="125"/>
      <c r="E52" s="126"/>
      <c r="F52" s="126"/>
      <c r="G52" s="126"/>
      <c r="H52" s="126"/>
      <c r="I52" s="126"/>
      <c r="J52" s="126"/>
      <c r="K52" s="126"/>
      <c r="L52" s="126"/>
      <c r="M52" s="126"/>
      <c r="N52" s="126"/>
      <c r="O52" s="126"/>
      <c r="P52" s="126"/>
      <c r="Q52" s="78"/>
      <c r="R52" s="78"/>
      <c r="S52" s="78"/>
      <c r="T52" s="78"/>
      <c r="U52" s="78"/>
      <c r="V52" s="78"/>
      <c r="W52" s="78"/>
      <c r="X52" s="78"/>
      <c r="Y52" s="78"/>
      <c r="Z52" s="78"/>
    </row>
    <row r="53" spans="1:26" ht="12" customHeight="1">
      <c r="A53" s="57" t="s">
        <v>94</v>
      </c>
      <c r="B53" s="57" t="s">
        <v>92</v>
      </c>
      <c r="C53" s="127"/>
      <c r="D53" s="129"/>
      <c r="E53" s="126"/>
      <c r="F53" s="126"/>
      <c r="G53" s="126"/>
      <c r="H53" s="126"/>
      <c r="I53" s="126"/>
      <c r="J53" s="126"/>
      <c r="K53" s="126"/>
      <c r="L53" s="126"/>
      <c r="M53" s="126"/>
      <c r="N53" s="126"/>
      <c r="O53" s="126"/>
      <c r="P53" s="126"/>
      <c r="Q53" s="78"/>
      <c r="R53" s="78"/>
      <c r="S53" s="78"/>
      <c r="T53" s="78"/>
      <c r="U53" s="78"/>
      <c r="V53" s="78"/>
      <c r="W53" s="78"/>
      <c r="X53" s="78"/>
      <c r="Y53" s="78"/>
      <c r="Z53" s="78"/>
    </row>
    <row r="54" spans="1:26" ht="12" customHeight="1">
      <c r="A54" s="57" t="s">
        <v>94</v>
      </c>
      <c r="B54" s="57" t="s">
        <v>92</v>
      </c>
      <c r="C54" s="127"/>
      <c r="D54" s="129"/>
      <c r="E54" s="126"/>
      <c r="F54" s="126"/>
      <c r="G54" s="126"/>
      <c r="H54" s="126"/>
      <c r="I54" s="126"/>
      <c r="J54" s="126"/>
      <c r="K54" s="126"/>
      <c r="L54" s="126"/>
      <c r="M54" s="126"/>
      <c r="N54" s="126"/>
      <c r="O54" s="126"/>
      <c r="P54" s="126"/>
      <c r="Q54" s="78"/>
      <c r="R54" s="78"/>
      <c r="S54" s="78"/>
      <c r="T54" s="78"/>
      <c r="U54" s="78"/>
      <c r="V54" s="78"/>
      <c r="W54" s="78"/>
      <c r="X54" s="78"/>
      <c r="Y54" s="78"/>
      <c r="Z54" s="78"/>
    </row>
    <row r="55" spans="1:26" ht="12" customHeight="1">
      <c r="A55" s="57" t="s">
        <v>94</v>
      </c>
      <c r="B55" s="57" t="s">
        <v>92</v>
      </c>
      <c r="C55" s="127"/>
      <c r="D55" s="129"/>
      <c r="E55" s="126"/>
      <c r="F55" s="126"/>
      <c r="G55" s="126"/>
      <c r="H55" s="126"/>
      <c r="I55" s="126"/>
      <c r="J55" s="126"/>
      <c r="K55" s="126"/>
      <c r="L55" s="126"/>
      <c r="M55" s="126"/>
      <c r="N55" s="126"/>
      <c r="O55" s="126"/>
      <c r="P55" s="126"/>
      <c r="Q55" s="78"/>
      <c r="R55" s="78"/>
      <c r="S55" s="78"/>
      <c r="T55" s="78"/>
      <c r="U55" s="78"/>
      <c r="V55" s="78"/>
      <c r="W55" s="78"/>
      <c r="X55" s="78"/>
      <c r="Y55" s="78"/>
      <c r="Z55" s="78"/>
    </row>
    <row r="56" spans="1:26" ht="12" customHeight="1">
      <c r="A56" s="57" t="s">
        <v>94</v>
      </c>
      <c r="B56" s="57" t="s">
        <v>92</v>
      </c>
      <c r="C56" s="127"/>
      <c r="D56" s="129"/>
      <c r="E56" s="126"/>
      <c r="F56" s="126"/>
      <c r="G56" s="126"/>
      <c r="H56" s="126"/>
      <c r="I56" s="126"/>
      <c r="J56" s="126"/>
      <c r="K56" s="126"/>
      <c r="L56" s="126"/>
      <c r="M56" s="126"/>
      <c r="N56" s="126"/>
      <c r="O56" s="126"/>
      <c r="P56" s="126"/>
      <c r="Q56" s="78"/>
      <c r="R56" s="78"/>
      <c r="S56" s="78"/>
      <c r="T56" s="78"/>
      <c r="U56" s="78"/>
      <c r="V56" s="78"/>
      <c r="W56" s="78"/>
      <c r="X56" s="78"/>
      <c r="Y56" s="78"/>
      <c r="Z56" s="78"/>
    </row>
    <row r="57" spans="1:26" ht="12" customHeight="1">
      <c r="A57" s="57" t="s">
        <v>94</v>
      </c>
      <c r="B57" s="57" t="s">
        <v>92</v>
      </c>
      <c r="C57" s="127"/>
      <c r="D57" s="129"/>
      <c r="E57" s="126"/>
      <c r="F57" s="126"/>
      <c r="G57" s="126"/>
      <c r="H57" s="126"/>
      <c r="I57" s="126"/>
      <c r="J57" s="126"/>
      <c r="K57" s="126"/>
      <c r="L57" s="126"/>
      <c r="M57" s="126"/>
      <c r="N57" s="126"/>
      <c r="O57" s="126"/>
      <c r="P57" s="126"/>
      <c r="Q57" s="78"/>
      <c r="R57" s="78"/>
      <c r="S57" s="78"/>
      <c r="T57" s="78"/>
      <c r="U57" s="78"/>
      <c r="V57" s="78"/>
      <c r="W57" s="78"/>
      <c r="X57" s="78"/>
      <c r="Y57" s="78"/>
      <c r="Z57" s="78"/>
    </row>
    <row r="58" spans="1:26" ht="12" customHeight="1">
      <c r="A58" s="57" t="s">
        <v>94</v>
      </c>
      <c r="B58" s="57" t="s">
        <v>92</v>
      </c>
      <c r="C58" s="127"/>
      <c r="D58" s="125"/>
      <c r="E58" s="126"/>
      <c r="F58" s="126"/>
      <c r="G58" s="126"/>
      <c r="H58" s="126"/>
      <c r="I58" s="126"/>
      <c r="J58" s="126"/>
      <c r="K58" s="126"/>
      <c r="L58" s="126"/>
      <c r="M58" s="126"/>
      <c r="N58" s="126"/>
      <c r="O58" s="126"/>
      <c r="P58" s="126"/>
      <c r="Q58" s="78"/>
      <c r="R58" s="78"/>
      <c r="S58" s="78"/>
      <c r="T58" s="78"/>
      <c r="U58" s="78"/>
      <c r="V58" s="78"/>
      <c r="W58" s="78"/>
      <c r="X58" s="78"/>
      <c r="Y58" s="78"/>
      <c r="Z58" s="78"/>
    </row>
    <row r="59" spans="1:26" ht="12" customHeight="1">
      <c r="A59" s="57" t="s">
        <v>94</v>
      </c>
      <c r="B59" s="57" t="s">
        <v>92</v>
      </c>
      <c r="C59" s="127"/>
      <c r="D59" s="129"/>
      <c r="E59" s="126"/>
      <c r="F59" s="126"/>
      <c r="G59" s="126"/>
      <c r="H59" s="126"/>
      <c r="I59" s="126"/>
      <c r="J59" s="126"/>
      <c r="K59" s="126"/>
      <c r="L59" s="126"/>
      <c r="M59" s="126"/>
      <c r="N59" s="126"/>
      <c r="O59" s="126"/>
      <c r="P59" s="126"/>
      <c r="Q59" s="78"/>
      <c r="R59" s="78"/>
      <c r="S59" s="78"/>
      <c r="T59" s="78"/>
      <c r="U59" s="78"/>
      <c r="V59" s="78"/>
      <c r="W59" s="78"/>
      <c r="X59" s="78"/>
      <c r="Y59" s="78"/>
      <c r="Z59" s="78"/>
    </row>
    <row r="60" spans="1:26" ht="12" customHeight="1">
      <c r="A60" s="57" t="s">
        <v>94</v>
      </c>
      <c r="B60" s="57" t="s">
        <v>92</v>
      </c>
      <c r="C60" s="127"/>
      <c r="D60" s="129"/>
      <c r="E60" s="126"/>
      <c r="F60" s="126"/>
      <c r="G60" s="126"/>
      <c r="H60" s="126"/>
      <c r="I60" s="126"/>
      <c r="J60" s="126"/>
      <c r="K60" s="126"/>
      <c r="L60" s="126"/>
      <c r="M60" s="126"/>
      <c r="N60" s="126"/>
      <c r="O60" s="126"/>
      <c r="P60" s="126"/>
      <c r="Q60" s="78"/>
      <c r="R60" s="78"/>
      <c r="S60" s="78"/>
      <c r="T60" s="78"/>
      <c r="U60" s="78"/>
      <c r="V60" s="78"/>
      <c r="W60" s="78"/>
      <c r="X60" s="78"/>
      <c r="Y60" s="78"/>
      <c r="Z60" s="78"/>
    </row>
    <row r="61" spans="1:26" ht="12" customHeight="1">
      <c r="A61" s="57" t="s">
        <v>94</v>
      </c>
      <c r="B61" s="57" t="s">
        <v>92</v>
      </c>
      <c r="C61" s="127"/>
      <c r="D61" s="129"/>
      <c r="E61" s="126"/>
      <c r="F61" s="126"/>
      <c r="G61" s="126"/>
      <c r="H61" s="126"/>
      <c r="I61" s="126"/>
      <c r="J61" s="126"/>
      <c r="K61" s="126"/>
      <c r="L61" s="126"/>
      <c r="M61" s="126"/>
      <c r="N61" s="126"/>
      <c r="O61" s="126"/>
      <c r="P61" s="126"/>
      <c r="Q61" s="78"/>
      <c r="R61" s="78"/>
      <c r="S61" s="78"/>
      <c r="T61" s="78"/>
      <c r="U61" s="78"/>
      <c r="V61" s="78"/>
      <c r="W61" s="78"/>
      <c r="X61" s="78"/>
      <c r="Y61" s="78"/>
      <c r="Z61" s="78"/>
    </row>
    <row r="62" spans="1:26" ht="12" customHeight="1">
      <c r="A62" s="57" t="s">
        <v>94</v>
      </c>
      <c r="B62" s="57" t="s">
        <v>92</v>
      </c>
      <c r="C62" s="127"/>
      <c r="D62" s="129"/>
      <c r="E62" s="126"/>
      <c r="F62" s="126"/>
      <c r="G62" s="126"/>
      <c r="H62" s="126"/>
      <c r="I62" s="126"/>
      <c r="J62" s="126"/>
      <c r="K62" s="126"/>
      <c r="L62" s="126"/>
      <c r="M62" s="126"/>
      <c r="N62" s="126"/>
      <c r="O62" s="126"/>
      <c r="P62" s="126"/>
      <c r="Q62" s="78"/>
      <c r="R62" s="78"/>
      <c r="S62" s="78"/>
      <c r="T62" s="78"/>
      <c r="U62" s="78"/>
      <c r="V62" s="78"/>
      <c r="W62" s="78"/>
      <c r="X62" s="78"/>
      <c r="Y62" s="78"/>
      <c r="Z62" s="78"/>
    </row>
    <row r="63" spans="1:26" ht="12" customHeight="1">
      <c r="A63" s="57" t="s">
        <v>94</v>
      </c>
      <c r="B63" s="57" t="s">
        <v>92</v>
      </c>
      <c r="C63" s="127"/>
      <c r="D63" s="129"/>
      <c r="E63" s="126"/>
      <c r="F63" s="126"/>
      <c r="G63" s="126"/>
      <c r="H63" s="126"/>
      <c r="I63" s="126"/>
      <c r="J63" s="126"/>
      <c r="K63" s="126"/>
      <c r="L63" s="126"/>
      <c r="M63" s="126"/>
      <c r="N63" s="126"/>
      <c r="O63" s="126"/>
      <c r="P63" s="126"/>
      <c r="Q63" s="78"/>
      <c r="R63" s="78"/>
      <c r="S63" s="78"/>
      <c r="T63" s="78"/>
      <c r="U63" s="78"/>
      <c r="V63" s="78"/>
      <c r="W63" s="78"/>
      <c r="X63" s="78"/>
      <c r="Y63" s="78"/>
      <c r="Z63" s="78"/>
    </row>
    <row r="64" spans="1:26" ht="12" customHeight="1">
      <c r="A64" s="57" t="s">
        <v>94</v>
      </c>
      <c r="B64" s="57" t="s">
        <v>92</v>
      </c>
      <c r="C64" s="127"/>
      <c r="D64" s="129"/>
      <c r="E64" s="126"/>
      <c r="F64" s="126"/>
      <c r="G64" s="126"/>
      <c r="H64" s="126"/>
      <c r="I64" s="126"/>
      <c r="J64" s="126"/>
      <c r="K64" s="126"/>
      <c r="L64" s="126"/>
      <c r="M64" s="126"/>
      <c r="N64" s="126"/>
      <c r="O64" s="126"/>
      <c r="P64" s="126"/>
      <c r="Q64" s="78"/>
      <c r="R64" s="78"/>
      <c r="S64" s="78"/>
      <c r="T64" s="78"/>
      <c r="U64" s="78"/>
      <c r="V64" s="78"/>
      <c r="W64" s="78"/>
      <c r="X64" s="78"/>
      <c r="Y64" s="78"/>
      <c r="Z64" s="78"/>
    </row>
    <row r="65" spans="1:26" ht="12" customHeight="1" thickBot="1">
      <c r="A65" s="57" t="s">
        <v>94</v>
      </c>
      <c r="B65" s="57" t="s">
        <v>92</v>
      </c>
      <c r="C65" s="127"/>
      <c r="D65" s="129"/>
      <c r="E65" s="126"/>
      <c r="F65" s="126"/>
      <c r="G65" s="126"/>
      <c r="H65" s="126"/>
      <c r="I65" s="126"/>
      <c r="J65" s="126"/>
      <c r="K65" s="126"/>
      <c r="L65" s="126"/>
      <c r="M65" s="126"/>
      <c r="N65" s="126"/>
      <c r="O65" s="126"/>
      <c r="P65" s="126"/>
      <c r="Q65" s="78"/>
      <c r="R65" s="78"/>
      <c r="S65" s="78"/>
      <c r="T65" s="78"/>
      <c r="U65" s="78"/>
      <c r="V65" s="78"/>
      <c r="W65" s="78"/>
      <c r="X65" s="78"/>
      <c r="Y65" s="78"/>
      <c r="Z65" s="78"/>
    </row>
    <row r="66" spans="1:26" ht="12" customHeight="1">
      <c r="A66" s="57" t="s">
        <v>94</v>
      </c>
      <c r="B66" s="57" t="s">
        <v>92</v>
      </c>
      <c r="C66" s="130"/>
      <c r="D66" s="131"/>
      <c r="E66" s="130"/>
      <c r="F66" s="130"/>
      <c r="G66" s="130"/>
      <c r="H66" s="130"/>
      <c r="I66" s="130"/>
      <c r="J66" s="130"/>
      <c r="K66" s="130"/>
      <c r="L66" s="130"/>
      <c r="M66" s="130"/>
      <c r="N66" s="130"/>
      <c r="O66" s="130"/>
      <c r="P66" s="130"/>
      <c r="Q66" s="78"/>
      <c r="R66" s="78"/>
      <c r="S66" s="78"/>
      <c r="T66" s="78"/>
      <c r="U66" s="78"/>
      <c r="V66" s="78"/>
      <c r="W66" s="78"/>
      <c r="X66" s="78"/>
      <c r="Y66" s="78"/>
      <c r="Z66" s="78"/>
    </row>
    <row r="67" spans="1:26" ht="12" customHeight="1">
      <c r="A67" s="57" t="s">
        <v>94</v>
      </c>
      <c r="B67" s="57" t="s">
        <v>92</v>
      </c>
      <c r="C67" s="154"/>
      <c r="D67" s="122"/>
      <c r="E67" s="123"/>
      <c r="F67" s="123"/>
      <c r="G67" s="123"/>
      <c r="H67" s="123"/>
      <c r="I67" s="123"/>
      <c r="J67" s="123"/>
      <c r="K67" s="123"/>
      <c r="L67" s="123"/>
      <c r="M67" s="123"/>
      <c r="N67" s="123"/>
      <c r="O67" s="123"/>
      <c r="P67" s="123"/>
      <c r="Q67" s="78"/>
      <c r="R67" s="78"/>
      <c r="S67" s="78"/>
      <c r="T67" s="78"/>
      <c r="U67" s="78"/>
      <c r="V67" s="78"/>
      <c r="W67" s="78"/>
      <c r="X67" s="78"/>
      <c r="Y67" s="78"/>
      <c r="Z67" s="78"/>
    </row>
    <row r="68" spans="1:26" ht="12" customHeight="1">
      <c r="A68" s="57" t="s">
        <v>94</v>
      </c>
      <c r="B68" s="57" t="s">
        <v>92</v>
      </c>
      <c r="C68" s="126"/>
      <c r="D68" s="125"/>
      <c r="E68" s="126"/>
      <c r="F68" s="126"/>
      <c r="G68" s="126"/>
      <c r="H68" s="126"/>
      <c r="I68" s="126"/>
      <c r="J68" s="126"/>
      <c r="K68" s="126"/>
      <c r="L68" s="126"/>
      <c r="M68" s="126"/>
      <c r="N68" s="126"/>
      <c r="O68" s="126"/>
      <c r="P68" s="126"/>
      <c r="Q68" s="78"/>
      <c r="R68" s="78"/>
      <c r="S68" s="78"/>
      <c r="T68" s="78"/>
      <c r="U68" s="78"/>
      <c r="V68" s="78"/>
      <c r="W68" s="78"/>
      <c r="X68" s="78"/>
      <c r="Y68" s="78"/>
      <c r="Z68" s="78"/>
    </row>
    <row r="69" spans="1:26" ht="12" customHeight="1">
      <c r="A69" s="57" t="s">
        <v>94</v>
      </c>
      <c r="B69" s="57" t="s">
        <v>92</v>
      </c>
      <c r="C69" s="127"/>
      <c r="D69" s="129"/>
      <c r="E69" s="126"/>
      <c r="F69" s="126"/>
      <c r="G69" s="126"/>
      <c r="H69" s="126"/>
      <c r="I69" s="126"/>
      <c r="J69" s="126"/>
      <c r="K69" s="126"/>
      <c r="L69" s="126"/>
      <c r="M69" s="126"/>
      <c r="N69" s="126"/>
      <c r="O69" s="126"/>
      <c r="P69" s="126"/>
      <c r="Q69" s="78"/>
      <c r="R69" s="78"/>
      <c r="S69" s="78"/>
      <c r="T69" s="78"/>
      <c r="U69" s="78"/>
      <c r="V69" s="78"/>
      <c r="W69" s="78"/>
      <c r="X69" s="78"/>
      <c r="Y69" s="78"/>
      <c r="Z69" s="78"/>
    </row>
    <row r="70" spans="1:26" ht="12" customHeight="1">
      <c r="A70" s="57" t="s">
        <v>94</v>
      </c>
      <c r="B70" s="57" t="s">
        <v>92</v>
      </c>
      <c r="C70" s="127"/>
      <c r="D70" s="125"/>
      <c r="E70" s="126"/>
      <c r="F70" s="126"/>
      <c r="G70" s="126"/>
      <c r="H70" s="126"/>
      <c r="I70" s="126"/>
      <c r="J70" s="126"/>
      <c r="K70" s="126"/>
      <c r="L70" s="126"/>
      <c r="M70" s="126"/>
      <c r="N70" s="126"/>
      <c r="O70" s="126"/>
      <c r="P70" s="126"/>
      <c r="Q70" s="78"/>
      <c r="R70" s="78"/>
      <c r="S70" s="78"/>
      <c r="T70" s="78"/>
      <c r="U70" s="78"/>
      <c r="V70" s="78"/>
      <c r="W70" s="78"/>
      <c r="X70" s="78"/>
      <c r="Y70" s="78"/>
      <c r="Z70" s="78"/>
    </row>
    <row r="71" spans="1:26" ht="12" customHeight="1">
      <c r="A71" s="57" t="s">
        <v>94</v>
      </c>
      <c r="B71" s="57" t="s">
        <v>92</v>
      </c>
      <c r="C71" s="127"/>
      <c r="D71" s="129"/>
      <c r="E71" s="126"/>
      <c r="F71" s="126"/>
      <c r="G71" s="126"/>
      <c r="H71" s="126"/>
      <c r="I71" s="126"/>
      <c r="J71" s="126"/>
      <c r="K71" s="126"/>
      <c r="L71" s="126"/>
      <c r="M71" s="126"/>
      <c r="N71" s="126"/>
      <c r="O71" s="126"/>
      <c r="P71" s="126"/>
      <c r="Q71" s="78"/>
      <c r="R71" s="78"/>
      <c r="S71" s="78"/>
      <c r="T71" s="78"/>
      <c r="U71" s="78"/>
      <c r="V71" s="78"/>
      <c r="W71" s="78"/>
      <c r="X71" s="78"/>
      <c r="Y71" s="78"/>
      <c r="Z71" s="78"/>
    </row>
    <row r="72" spans="1:26" ht="12"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2"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2"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2"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2"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2"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2"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2"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2"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2"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2"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2"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2"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2"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2"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2"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2"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2"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2"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2"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2"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2"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2"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2"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2"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2"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2"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2"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2"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2"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2"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2"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2"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2"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2"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2"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2"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2"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2"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2"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2"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2"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2"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2"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2"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2"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2"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2"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2"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2"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2"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2"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2"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2"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2"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2"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2"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2"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2"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2"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2"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2"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2"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2"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2"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2"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2"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2"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2"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2"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2"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2"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2"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2"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2"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2"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2"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2"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2"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2"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2"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2"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2"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2"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2"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2"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2"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2"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2"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2"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2"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2"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2"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2"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2"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2"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2"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2"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2"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2"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2"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2"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2"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2"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2"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2"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2"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2"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2"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2"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2"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2"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2"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2"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2"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2"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2"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2"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2"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2"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2"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2"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2"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2"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2"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2"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2"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2"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2"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2"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2"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2"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2"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2"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2"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2"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2"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2"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2"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2"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2"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2"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2"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2"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2"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2"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2"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2"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2"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2"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2"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2"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2"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2"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2"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2"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2"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2"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2"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2"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2"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2"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2"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2"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2"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2"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2"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2"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2"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2"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2"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2"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2"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2"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2"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2"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2"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2"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2"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2"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2"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2"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2"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2"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2"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2"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2"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2"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2"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2"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2"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2"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2"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2"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2"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2"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2"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2"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2"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2"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2"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2"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2"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2"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2"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2"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2"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2"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2"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2"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2"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2"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2"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2"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2"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2"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2"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2"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2"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2"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2"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2"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2"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2"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2"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2"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2"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2"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2"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2"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2"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2"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2"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2"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2"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2"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2"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2"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2"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2"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2"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2"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2"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2"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2"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2"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2"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2"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2"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2"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2"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2"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2"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2"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2"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2"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2"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2"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2"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2"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2"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2"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2"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2"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2"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2"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2"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2"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2"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2"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2"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2"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2"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2"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2"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2"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2"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2"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2"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2"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2"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2"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2"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2"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2"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2"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2"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2"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2"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2"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2"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2"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2"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2"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2"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2"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2"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2"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2"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2"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2"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2"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2"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2"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2"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2"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2"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2"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2"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2"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2"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2"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2"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2"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2"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2"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2"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2"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2"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2"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2"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2"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2"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2"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2"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2"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2"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2"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2"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2"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2"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2"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2"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2"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2"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2"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2"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2"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2"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2"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2"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2"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2"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2"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2"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2"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2"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2"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2"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2"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2"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2"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2"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2"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2"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2"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2"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2"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2"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2"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2"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2"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2"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2"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2"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2"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2"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2"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2"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2"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2"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2"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2"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2"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2"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2"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2"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2"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2"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2"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2"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2"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2"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2"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2"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2"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2"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2"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2"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2"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2"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2"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2"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2"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2"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2"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2"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2"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2"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2"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2"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2"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2"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2"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2"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2"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2"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2"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2"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2"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2"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2"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2"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2"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2"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2"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2"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2"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2"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2"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2"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2"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2"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2"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2"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2"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2"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2"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2"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2"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2"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2"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2"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2"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2"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2"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2"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2"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2"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2"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2"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2"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2"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2"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2"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2"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2"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2"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2"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2"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2"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2"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2"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2"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2"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2"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2"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2"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2"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2"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2"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2"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2"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2"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2"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2"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2"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2"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2"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2"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2"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2"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2"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2"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2"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2"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2"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2"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2"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2"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2"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2"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2"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2"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2"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2"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2"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2"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2"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2"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2"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2"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2"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2"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2"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2"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2"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2"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2"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2"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2"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2"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2"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2"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2"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2"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2"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2"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2"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2"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2"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2"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2"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2"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2"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2"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2"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2"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2"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2"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2"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2"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2"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2"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2"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2"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2"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2"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2"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2"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2"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2"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2"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2"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2"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2"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2"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2"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2"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2"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2"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2"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2"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2"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2"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2"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2"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2"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2"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2"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2"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2"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2"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2"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2"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2"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2"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2"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2"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2"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2"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2"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2"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2"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2"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2"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2"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2"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2"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2"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2"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2"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2"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2"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2"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2"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2"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2"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2"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2"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2"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2"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2"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2"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2"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2"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2"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2"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2"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2"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2"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2"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2"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2"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2"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2"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2"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2"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2"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2"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2"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2"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2"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2"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2"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2"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2"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2"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2"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2"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2"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2"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2"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2"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2"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2"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2"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2"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2"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2"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2"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2"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2"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2"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2"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2"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2"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2"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2"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2"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2"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2"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2"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2"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2"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2"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2"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2"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2"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2"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2"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2"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2"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2"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2"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2"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2"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2"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2"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2"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2"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2"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2"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2"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2"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2"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2"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2"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2"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2"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2"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2"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2"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2"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2"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2"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2"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2"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2"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2"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2"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2"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2"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2"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2"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2"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2"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2"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2"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2"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2"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2"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2"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2"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2"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2"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2"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2"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2"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2"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2"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2"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2"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2"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2"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2"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2"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2"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2"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2"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2"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2"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2"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2"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2"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2"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2"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2"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2"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2"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2"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2"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2"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2"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2"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2"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2"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2"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2"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2"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2"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2"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2"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2"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2"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2"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2"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2"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2"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2"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2"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2"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2"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2"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2"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2"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2"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2"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2"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2"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2"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2"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2"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2"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2"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2"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2"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2"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2"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2"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2"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2"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2"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2"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2"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2"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2"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2"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2"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2"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2"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2"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2"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2"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2"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2"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2"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2"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2"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2"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2"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2"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2"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2"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2"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2"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2"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2"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2"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2"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2"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2"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2"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2"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2"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2"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2"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2"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2"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2"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2"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2"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2"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2"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2"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2"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2"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2"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2"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2"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2"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2"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2"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2"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2"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2"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2"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2"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2"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2"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2"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2"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2"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2"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2"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2"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2"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2"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2"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2"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2"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2"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2"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2"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2"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2"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2"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2"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2"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2"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2"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2"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2"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2"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2"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2"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2"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2"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2"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2"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2"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2"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2"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2"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2"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2"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2"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2"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2"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2"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2"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2"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2"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2"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2"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2"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2"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2"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2"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2"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2"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2"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2"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2"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2"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2"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2"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2"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2"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2"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2"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2"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2"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2"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2"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2"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2"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2"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2"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2"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2"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2"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2"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2"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2"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2"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2"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2"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2"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2"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2"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2"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2"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2"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2"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2"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2"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2"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2"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2"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2"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2"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2"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2"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2"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2"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2"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2"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2"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2"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2"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2"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2"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2"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2"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2"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2"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2"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2"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2"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2"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2"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2"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2"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2"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2"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2"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2"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2"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spans="1:26" ht="12" customHeight="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sheetData>
  <mergeCells count="2">
    <mergeCell ref="C2:K2"/>
    <mergeCell ref="C3:K3"/>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XFD1009"/>
  <sheetViews>
    <sheetView showGridLines="0" topLeftCell="A34" zoomScale="120" zoomScaleNormal="120" workbookViewId="0">
      <selection activeCell="B65" sqref="B65"/>
    </sheetView>
  </sheetViews>
  <sheetFormatPr defaultColWidth="14.42578125" defaultRowHeight="15" customHeight="1"/>
  <cols>
    <col min="1" max="14" width="26.85546875" style="68" customWidth="1"/>
    <col min="15" max="22" width="8.7109375" style="68" customWidth="1"/>
    <col min="23" max="16384" width="14.42578125" style="68"/>
  </cols>
  <sheetData>
    <row r="1" spans="1:22 16384:16384" s="72" customFormat="1" ht="42.6" customHeight="1">
      <c r="A1" s="279" t="s">
        <v>95</v>
      </c>
      <c r="B1" s="280"/>
      <c r="C1" s="280"/>
      <c r="D1" s="280"/>
      <c r="E1" s="280"/>
      <c r="F1" s="158"/>
      <c r="G1" s="158"/>
      <c r="H1" s="158"/>
      <c r="I1" s="158"/>
      <c r="J1" s="158"/>
      <c r="K1" s="158"/>
      <c r="L1" s="158"/>
      <c r="M1" s="158"/>
      <c r="N1" s="158"/>
      <c r="O1" s="158"/>
      <c r="P1" s="158"/>
      <c r="Q1" s="158"/>
      <c r="R1" s="158"/>
      <c r="S1" s="158"/>
      <c r="T1" s="158"/>
      <c r="U1" s="158"/>
      <c r="V1" s="158"/>
    </row>
    <row r="2" spans="1:22 16384:16384" ht="119.45" customHeight="1">
      <c r="A2" s="281" t="s">
        <v>96</v>
      </c>
      <c r="B2" s="282"/>
      <c r="C2" s="282"/>
      <c r="D2" s="282"/>
      <c r="E2" s="282"/>
      <c r="F2" s="282"/>
      <c r="G2" s="282"/>
      <c r="H2" s="282"/>
      <c r="I2" s="282"/>
      <c r="J2" s="282"/>
      <c r="K2" s="282"/>
      <c r="L2" s="66"/>
      <c r="M2" s="66"/>
      <c r="N2" s="66"/>
      <c r="O2" s="66"/>
      <c r="P2" s="66"/>
      <c r="Q2" s="66"/>
      <c r="R2" s="66"/>
      <c r="S2" s="66"/>
      <c r="T2" s="66"/>
      <c r="U2" s="66"/>
      <c r="V2" s="66"/>
    </row>
    <row r="3" spans="1:22 16384:16384" ht="12.75" customHeight="1">
      <c r="A3" s="161"/>
      <c r="B3" s="66"/>
      <c r="C3" s="66"/>
      <c r="D3" s="66"/>
      <c r="E3" s="66"/>
      <c r="F3" s="66"/>
      <c r="G3" s="66"/>
      <c r="H3" s="66"/>
      <c r="I3" s="66"/>
      <c r="J3" s="66"/>
      <c r="K3" s="66"/>
      <c r="L3" s="66"/>
      <c r="M3" s="66"/>
      <c r="N3" s="66"/>
      <c r="O3" s="66"/>
      <c r="P3" s="66"/>
      <c r="Q3" s="66"/>
      <c r="R3" s="66"/>
      <c r="S3" s="66"/>
      <c r="T3" s="66"/>
      <c r="U3" s="66"/>
      <c r="V3" s="66"/>
    </row>
    <row r="4" spans="1:22 16384:16384" s="72" customFormat="1" ht="72" customHeight="1">
      <c r="A4" s="275" t="s">
        <v>97</v>
      </c>
      <c r="B4" s="276"/>
      <c r="C4" s="276"/>
      <c r="D4" s="276"/>
      <c r="E4" s="276"/>
      <c r="F4" s="276"/>
      <c r="G4" s="276"/>
      <c r="H4" s="276"/>
      <c r="I4" s="276"/>
      <c r="J4" s="276"/>
      <c r="K4" s="89"/>
      <c r="L4" s="89"/>
      <c r="M4" s="89"/>
      <c r="N4" s="89"/>
      <c r="O4" s="89"/>
      <c r="P4" s="89"/>
      <c r="Q4" s="89"/>
      <c r="R4" s="89"/>
      <c r="S4" s="89"/>
      <c r="T4" s="89"/>
      <c r="U4" s="89"/>
      <c r="V4" s="89"/>
    </row>
    <row r="5" spans="1:22 16384:16384" s="72" customFormat="1" ht="20.45" customHeight="1">
      <c r="A5" s="256"/>
      <c r="B5" s="88"/>
      <c r="C5" s="88"/>
      <c r="D5" s="88"/>
      <c r="E5" s="88"/>
      <c r="F5" s="88"/>
      <c r="G5" s="88"/>
      <c r="H5" s="88"/>
      <c r="I5" s="88"/>
      <c r="J5" s="88"/>
      <c r="K5" s="89"/>
      <c r="L5" s="89"/>
      <c r="M5" s="89"/>
      <c r="N5" s="89"/>
      <c r="O5" s="89"/>
      <c r="P5" s="89"/>
      <c r="Q5" s="89"/>
      <c r="R5" s="89"/>
      <c r="S5" s="89"/>
      <c r="T5" s="89"/>
      <c r="U5" s="89"/>
      <c r="V5" s="89"/>
    </row>
    <row r="6" spans="1:22 16384:16384" s="276" customFormat="1" ht="12.95" customHeight="1">
      <c r="A6" s="275" t="s">
        <v>98</v>
      </c>
    </row>
    <row r="7" spans="1:22 16384:16384" s="72" customFormat="1" ht="30" customHeight="1">
      <c r="A7" s="137" t="s">
        <v>99</v>
      </c>
      <c r="B7" s="89"/>
      <c r="C7" s="89"/>
      <c r="D7" s="89"/>
      <c r="E7" s="89"/>
      <c r="F7" s="89"/>
      <c r="G7" s="89"/>
      <c r="H7" s="89"/>
      <c r="I7" s="89"/>
      <c r="J7" s="89"/>
      <c r="K7" s="89"/>
      <c r="L7" s="89"/>
      <c r="M7" s="89"/>
      <c r="N7" s="89"/>
      <c r="O7" s="89"/>
      <c r="P7" s="89"/>
      <c r="Q7" s="89"/>
      <c r="R7" s="89"/>
      <c r="S7" s="89"/>
      <c r="T7" s="89"/>
      <c r="U7" s="89"/>
      <c r="V7" s="89"/>
    </row>
    <row r="8" spans="1:22 16384:16384" s="72" customFormat="1" ht="12.75" customHeight="1">
      <c r="A8" s="162" t="s">
        <v>94</v>
      </c>
      <c r="B8" s="163"/>
      <c r="C8" s="101" t="s">
        <v>43</v>
      </c>
      <c r="D8" s="101" t="s">
        <v>44</v>
      </c>
      <c r="E8" s="101" t="s">
        <v>45</v>
      </c>
      <c r="F8" s="101" t="s">
        <v>46</v>
      </c>
      <c r="G8" s="101" t="s">
        <v>47</v>
      </c>
      <c r="H8" s="101" t="s">
        <v>48</v>
      </c>
      <c r="I8" s="101" t="s">
        <v>49</v>
      </c>
      <c r="J8" s="101" t="s">
        <v>50</v>
      </c>
      <c r="K8" s="101" t="s">
        <v>51</v>
      </c>
      <c r="L8" s="101" t="s">
        <v>52</v>
      </c>
      <c r="M8" s="101" t="s">
        <v>53</v>
      </c>
      <c r="N8" s="101" t="s">
        <v>54</v>
      </c>
      <c r="O8" s="89"/>
      <c r="P8" s="89"/>
      <c r="Q8" s="89"/>
      <c r="R8" s="89"/>
      <c r="S8" s="89"/>
      <c r="T8" s="89"/>
      <c r="U8" s="89"/>
      <c r="V8" s="89"/>
    </row>
    <row r="9" spans="1:22 16384:16384" s="177" customFormat="1" ht="12.75" customHeight="1">
      <c r="A9" s="25" t="s">
        <v>55</v>
      </c>
      <c r="B9" s="26" t="s">
        <v>56</v>
      </c>
      <c r="C9" s="191">
        <f>'Financial BUDGET'!C3</f>
        <v>-8213375.7000000002</v>
      </c>
      <c r="D9" s="191">
        <f>'Financial BUDGET'!D3</f>
        <v>-5968279.7000000002</v>
      </c>
      <c r="E9" s="191">
        <f>'Financial BUDGET'!E3</f>
        <v>-5943759.7000000002</v>
      </c>
      <c r="F9" s="191">
        <f>'Financial BUDGET'!F3</f>
        <v>-4405551.2300000004</v>
      </c>
      <c r="G9" s="191">
        <f>'Financial BUDGET'!G3</f>
        <v>-7250656.2300000004</v>
      </c>
      <c r="H9" s="191">
        <f>'Financial BUDGET'!H3</f>
        <v>-8001217.2300000004</v>
      </c>
      <c r="I9" s="191">
        <f>'Financial BUDGET'!I3</f>
        <v>-10464692.23</v>
      </c>
      <c r="J9" s="191">
        <f>'Financial BUDGET'!J3</f>
        <v>-9728864.2300000004</v>
      </c>
      <c r="K9" s="191">
        <f>'Financial BUDGET'!K3</f>
        <v>-10439474.23</v>
      </c>
      <c r="L9" s="191">
        <f>'Financial BUDGET'!L3</f>
        <v>-8093996.2300000004</v>
      </c>
      <c r="M9" s="191">
        <f>'Financial BUDGET'!M3</f>
        <v>-7467847.2300000004</v>
      </c>
      <c r="N9" s="191">
        <f>'Financial BUDGET'!N3</f>
        <v>-8015833.2300000004</v>
      </c>
      <c r="O9" s="78"/>
      <c r="P9" s="78"/>
      <c r="Q9" s="78"/>
      <c r="R9" s="78"/>
      <c r="S9" s="78"/>
      <c r="T9" s="78"/>
      <c r="U9" s="78"/>
      <c r="V9" s="78"/>
    </row>
    <row r="10" spans="1:22 16384:16384" s="177" customFormat="1" ht="12.75" customHeight="1">
      <c r="A10" s="25"/>
      <c r="B10" s="76" t="s">
        <v>81</v>
      </c>
      <c r="C10" s="191">
        <f>'Financial BUDGET'!C4</f>
        <v>30000</v>
      </c>
      <c r="D10" s="191">
        <f>'Financial BUDGET'!D4</f>
        <v>30000</v>
      </c>
      <c r="E10" s="191">
        <f>'Financial BUDGET'!E4</f>
        <v>30000</v>
      </c>
      <c r="F10" s="191">
        <f>'Financial BUDGET'!F4</f>
        <v>30000</v>
      </c>
      <c r="G10" s="191">
        <f>'Financial BUDGET'!G4</f>
        <v>30000</v>
      </c>
      <c r="H10" s="191">
        <f>'Financial BUDGET'!H4</f>
        <v>30000</v>
      </c>
      <c r="I10" s="191">
        <f>'Financial BUDGET'!I4</f>
        <v>30000</v>
      </c>
      <c r="J10" s="191">
        <f>'Financial BUDGET'!J4</f>
        <v>30000</v>
      </c>
      <c r="K10" s="191">
        <f>'Financial BUDGET'!K4</f>
        <v>30000</v>
      </c>
      <c r="L10" s="191">
        <f>'Financial BUDGET'!L4</f>
        <v>30000</v>
      </c>
      <c r="M10" s="191">
        <f>'Financial BUDGET'!M4</f>
        <v>30000</v>
      </c>
      <c r="N10" s="191">
        <f>'Financial BUDGET'!N4</f>
        <v>30000</v>
      </c>
      <c r="O10" s="78"/>
      <c r="P10" s="78"/>
      <c r="Q10" s="78"/>
      <c r="R10" s="78"/>
      <c r="S10" s="78"/>
      <c r="T10" s="78"/>
      <c r="U10" s="78"/>
      <c r="V10" s="78"/>
      <c r="XFD10" s="56"/>
    </row>
    <row r="11" spans="1:22 16384:16384" s="177" customFormat="1" ht="12.75" customHeight="1">
      <c r="A11" s="25"/>
      <c r="B11" s="76" t="s">
        <v>82</v>
      </c>
      <c r="C11" s="191">
        <f>'Financial BUDGET'!C5</f>
        <v>30000</v>
      </c>
      <c r="D11" s="191">
        <f>'Financial BUDGET'!D5</f>
        <v>30000</v>
      </c>
      <c r="E11" s="191">
        <f>'Financial BUDGET'!E5</f>
        <v>29923.74</v>
      </c>
      <c r="F11" s="191">
        <f>'Financial BUDGET'!F5</f>
        <v>30000</v>
      </c>
      <c r="G11" s="191">
        <f>'Financial BUDGET'!G5</f>
        <v>30000</v>
      </c>
      <c r="H11" s="191">
        <f>'Financial BUDGET'!H5</f>
        <v>30000</v>
      </c>
      <c r="I11" s="191">
        <f>'Financial BUDGET'!I5</f>
        <v>30000</v>
      </c>
      <c r="J11" s="191">
        <f>'Financial BUDGET'!J5</f>
        <v>30000</v>
      </c>
      <c r="K11" s="191">
        <f>'Financial BUDGET'!K5</f>
        <v>30000</v>
      </c>
      <c r="L11" s="191">
        <f>'Financial BUDGET'!L5</f>
        <v>30000</v>
      </c>
      <c r="M11" s="191">
        <f>'Financial BUDGET'!M5</f>
        <v>30000</v>
      </c>
      <c r="N11" s="191">
        <f>'Financial BUDGET'!N5</f>
        <v>30000</v>
      </c>
      <c r="O11" s="78"/>
      <c r="P11" s="78"/>
      <c r="Q11" s="78"/>
      <c r="R11" s="78"/>
      <c r="S11" s="78"/>
      <c r="T11" s="78"/>
      <c r="U11" s="78"/>
      <c r="V11" s="78"/>
    </row>
    <row r="12" spans="1:22 16384:16384" s="177" customFormat="1" ht="12.75" customHeight="1">
      <c r="A12" s="25"/>
      <c r="B12" s="76" t="s">
        <v>100</v>
      </c>
      <c r="C12" s="191">
        <f>'Financial BUDGET'!C26</f>
        <v>2870946.71</v>
      </c>
      <c r="D12" s="191">
        <f>'Financial BUDGET'!D26</f>
        <v>2893964.8600000003</v>
      </c>
      <c r="E12" s="191">
        <f>'Financial BUDGET'!E26</f>
        <v>4946553.25</v>
      </c>
      <c r="F12" s="191">
        <f>'Financial BUDGET'!F26</f>
        <v>3649852.2800000003</v>
      </c>
      <c r="G12" s="191">
        <f>'Financial BUDGET'!G26</f>
        <v>3390311.38</v>
      </c>
      <c r="H12" s="191">
        <f>'Financial BUDGET'!H26</f>
        <v>3296135.35</v>
      </c>
      <c r="I12" s="191">
        <f>'Financial BUDGET'!I26</f>
        <v>3371678.94</v>
      </c>
      <c r="J12" s="191">
        <f>'Financial BUDGET'!J26</f>
        <v>3486089.18</v>
      </c>
      <c r="K12" s="191">
        <f>'Financial BUDGET'!K26</f>
        <v>3420874.4299999997</v>
      </c>
      <c r="L12" s="191">
        <f>'Financial BUDGET'!L26</f>
        <v>3482686.52</v>
      </c>
      <c r="M12" s="191">
        <f>'Financial BUDGET'!M26</f>
        <v>3359577.0700000003</v>
      </c>
      <c r="N12" s="191">
        <f>'Financial BUDGET'!N26</f>
        <v>3881716.73</v>
      </c>
      <c r="O12" s="78"/>
      <c r="P12" s="78"/>
      <c r="Q12" s="78"/>
      <c r="R12" s="78"/>
      <c r="S12" s="78"/>
      <c r="T12" s="78"/>
      <c r="U12" s="78"/>
      <c r="V12" s="78"/>
    </row>
    <row r="13" spans="1:22 16384:16384" s="177" customFormat="1" ht="12.75" customHeight="1">
      <c r="A13" s="76" t="s">
        <v>69</v>
      </c>
      <c r="B13" s="76" t="s">
        <v>56</v>
      </c>
      <c r="C13" s="191">
        <f>'Financial BUDGET'!C7</f>
        <v>-16539850.560000001</v>
      </c>
      <c r="D13" s="191">
        <f>'Financial BUDGET'!D7</f>
        <v>-14936115.32</v>
      </c>
      <c r="E13" s="191">
        <f>'Financial BUDGET'!E7</f>
        <v>-14911829.35</v>
      </c>
      <c r="F13" s="191">
        <f>'Financial BUDGET'!F7</f>
        <v>-12812490.02</v>
      </c>
      <c r="G13" s="191">
        <f>'Financial BUDGET'!G7</f>
        <v>-13725254.119999999</v>
      </c>
      <c r="H13" s="191">
        <f>'Financial BUDGET'!H7</f>
        <v>-12969085.51</v>
      </c>
      <c r="I13" s="191">
        <f>'Financial BUDGET'!I7</f>
        <v>-17691646.970000003</v>
      </c>
      <c r="J13" s="191">
        <f>'Financial BUDGET'!J7</f>
        <v>-16929153.190000001</v>
      </c>
      <c r="K13" s="191">
        <f>'Financial BUDGET'!K7</f>
        <v>-15974433.369999999</v>
      </c>
      <c r="L13" s="191">
        <f>'Financial BUDGET'!L7</f>
        <v>-19039986.690000001</v>
      </c>
      <c r="M13" s="191">
        <f>'Financial BUDGET'!M7</f>
        <v>-17082544.41</v>
      </c>
      <c r="N13" s="191">
        <f>'Financial BUDGET'!N7</f>
        <v>-18945397.850000001</v>
      </c>
      <c r="O13" s="78"/>
      <c r="P13" s="78"/>
      <c r="Q13" s="78"/>
      <c r="R13" s="78"/>
      <c r="S13" s="78"/>
      <c r="T13" s="78"/>
      <c r="U13" s="78"/>
      <c r="V13" s="78"/>
      <c r="XFD13" s="76"/>
    </row>
    <row r="14" spans="1:22 16384:16384" s="177" customFormat="1" ht="12.75" customHeight="1">
      <c r="A14" s="76"/>
      <c r="B14" s="76" t="s">
        <v>81</v>
      </c>
      <c r="C14" s="191">
        <f>SUMIFS('Financial BUDGET'!C$7:C$10,'Financial BUDGET'!$B$7:$B$10,'Variance Analysis'!$B14)</f>
        <v>169981</v>
      </c>
      <c r="D14" s="191">
        <f>SUMIFS('Financial BUDGET'!D$7:D$10,'Financial BUDGET'!$B$7:$B$10,'Variance Analysis'!$B14)</f>
        <v>169981</v>
      </c>
      <c r="E14" s="191">
        <f>SUMIFS('Financial BUDGET'!E$7:E$10,'Financial BUDGET'!$B$7:$B$10,'Variance Analysis'!$B14)</f>
        <v>169981</v>
      </c>
      <c r="F14" s="191">
        <f>SUMIFS('Financial BUDGET'!F$7:F$10,'Financial BUDGET'!$B$7:$B$10,'Variance Analysis'!$B14)</f>
        <v>166888</v>
      </c>
      <c r="G14" s="191">
        <f>SUMIFS('Financial BUDGET'!G$7:G$10,'Financial BUDGET'!$B$7:$B$10,'Variance Analysis'!$B14)</f>
        <v>166888</v>
      </c>
      <c r="H14" s="191">
        <f>SUMIFS('Financial BUDGET'!H$7:H$10,'Financial BUDGET'!$B$7:$B$10,'Variance Analysis'!$B14)</f>
        <v>392677</v>
      </c>
      <c r="I14" s="191">
        <f>SUMIFS('Financial BUDGET'!I$7:I$10,'Financial BUDGET'!$B$7:$B$10,'Variance Analysis'!$B14)</f>
        <v>392677</v>
      </c>
      <c r="J14" s="191">
        <f>SUMIFS('Financial BUDGET'!J$7:J$10,'Financial BUDGET'!$B$7:$B$10,'Variance Analysis'!$B14)</f>
        <v>608648</v>
      </c>
      <c r="K14" s="191">
        <f>SUMIFS('Financial BUDGET'!K$7:K$10,'Financial BUDGET'!$B$7:$B$10,'Variance Analysis'!$B14)</f>
        <v>608648</v>
      </c>
      <c r="L14" s="191">
        <f>SUMIFS('Financial BUDGET'!L$7:L$10,'Financial BUDGET'!$B$7:$B$10,'Variance Analysis'!$B14)</f>
        <v>166888</v>
      </c>
      <c r="M14" s="191">
        <f>SUMIFS('Financial BUDGET'!M$7:M$10,'Financial BUDGET'!$B$7:$B$10,'Variance Analysis'!$B14)</f>
        <v>166888</v>
      </c>
      <c r="N14" s="191">
        <f>SUMIFS('Financial BUDGET'!N$7:N$10,'Financial BUDGET'!$B$7:$B$10,'Variance Analysis'!$B14)</f>
        <v>166888</v>
      </c>
      <c r="O14" s="78"/>
      <c r="P14" s="78"/>
      <c r="Q14" s="78"/>
      <c r="R14" s="78"/>
      <c r="S14" s="78"/>
      <c r="T14" s="78"/>
      <c r="U14" s="78"/>
      <c r="V14" s="78"/>
    </row>
    <row r="15" spans="1:22 16384:16384" s="177" customFormat="1" ht="12.75" customHeight="1">
      <c r="A15" s="76"/>
      <c r="B15" s="76" t="s">
        <v>82</v>
      </c>
      <c r="C15" s="191">
        <f>SUMIFS('Financial BUDGET'!C$7:C$10,'Financial BUDGET'!$B$7:$B$10,'Variance Analysis'!$B15)</f>
        <v>479062.54</v>
      </c>
      <c r="D15" s="191">
        <f>SUMIFS('Financial BUDGET'!D$7:D$10,'Financial BUDGET'!$B$7:$B$10,'Variance Analysis'!$B15)</f>
        <v>479062.54</v>
      </c>
      <c r="E15" s="191">
        <f>SUMIFS('Financial BUDGET'!E$7:E$10,'Financial BUDGET'!$B$7:$B$10,'Variance Analysis'!$B15)</f>
        <v>479062.54</v>
      </c>
      <c r="F15" s="191">
        <f>SUMIFS('Financial BUDGET'!F$7:F$10,'Financial BUDGET'!$B$7:$B$10,'Variance Analysis'!$B15)</f>
        <v>479062.54</v>
      </c>
      <c r="G15" s="191">
        <f>SUMIFS('Financial BUDGET'!G$7:G$10,'Financial BUDGET'!$B$7:$B$10,'Variance Analysis'!$B15)</f>
        <v>479062.54</v>
      </c>
      <c r="H15" s="191">
        <f>SUMIFS('Financial BUDGET'!H$7:H$10,'Financial BUDGET'!$B$7:$B$10,'Variance Analysis'!$B15)</f>
        <v>479062.54</v>
      </c>
      <c r="I15" s="191">
        <f>SUMIFS('Financial BUDGET'!I$7:I$10,'Financial BUDGET'!$B$7:$B$10,'Variance Analysis'!$B15)</f>
        <v>479062.54</v>
      </c>
      <c r="J15" s="191">
        <f>SUMIFS('Financial BUDGET'!J$7:J$10,'Financial BUDGET'!$B$7:$B$10,'Variance Analysis'!$B15)</f>
        <v>479062.54</v>
      </c>
      <c r="K15" s="191">
        <f>SUMIFS('Financial BUDGET'!K$7:K$10,'Financial BUDGET'!$B$7:$B$10,'Variance Analysis'!$B15)</f>
        <v>479062.54</v>
      </c>
      <c r="L15" s="191">
        <f>SUMIFS('Financial BUDGET'!L$7:L$10,'Financial BUDGET'!$B$7:$B$10,'Variance Analysis'!$B15)</f>
        <v>479062.54</v>
      </c>
      <c r="M15" s="191">
        <f>SUMIFS('Financial BUDGET'!M$7:M$10,'Financial BUDGET'!$B$7:$B$10,'Variance Analysis'!$B15)</f>
        <v>479062.54</v>
      </c>
      <c r="N15" s="191">
        <f>SUMIFS('Financial BUDGET'!N$7:N$10,'Financial BUDGET'!$B$7:$B$10,'Variance Analysis'!$B15)</f>
        <v>479062.54</v>
      </c>
      <c r="O15" s="78"/>
      <c r="P15" s="78"/>
      <c r="Q15" s="78"/>
      <c r="R15" s="78"/>
      <c r="S15" s="78"/>
      <c r="T15" s="78"/>
      <c r="U15" s="78"/>
      <c r="V15" s="78"/>
    </row>
    <row r="16" spans="1:22 16384:16384" s="177" customFormat="1" ht="12.75" customHeight="1">
      <c r="A16" s="76"/>
      <c r="B16" s="76" t="s">
        <v>100</v>
      </c>
      <c r="C16" s="191">
        <f>'Financial BUDGET'!C32</f>
        <v>10156042.75</v>
      </c>
      <c r="D16" s="191">
        <f>'Financial BUDGET'!D32</f>
        <v>10507931.76</v>
      </c>
      <c r="E16" s="191">
        <f>'Financial BUDGET'!E32</f>
        <v>14876453.26</v>
      </c>
      <c r="F16" s="191">
        <f>'Financial BUDGET'!F32</f>
        <v>17913936.32</v>
      </c>
      <c r="G16" s="191">
        <f>'Financial BUDGET'!G32</f>
        <v>16602328.669999998</v>
      </c>
      <c r="H16" s="191">
        <f>'Financial BUDGET'!H32</f>
        <v>11716587.91</v>
      </c>
      <c r="I16" s="191">
        <f>'Financial BUDGET'!I32</f>
        <v>8737662.6500000004</v>
      </c>
      <c r="J16" s="191">
        <f>'Financial BUDGET'!J32</f>
        <v>8769854.0099999998</v>
      </c>
      <c r="K16" s="191">
        <f>'Financial BUDGET'!K32</f>
        <v>10564946.010000002</v>
      </c>
      <c r="L16" s="191">
        <f>'Financial BUDGET'!L32</f>
        <v>10222269.529999999</v>
      </c>
      <c r="M16" s="191">
        <f>'Financial BUDGET'!M32</f>
        <v>10608268.550000001</v>
      </c>
      <c r="N16" s="191">
        <f>'Financial BUDGET'!N32</f>
        <v>12229507.550000001</v>
      </c>
      <c r="O16" s="78"/>
      <c r="P16" s="78"/>
      <c r="Q16" s="78"/>
      <c r="R16" s="78"/>
      <c r="S16" s="78"/>
      <c r="T16" s="78"/>
      <c r="U16" s="78"/>
      <c r="V16" s="78"/>
    </row>
    <row r="17" spans="1:22 16384:16384" s="177" customFormat="1" ht="12.75" customHeight="1">
      <c r="A17" s="76" t="s">
        <v>84</v>
      </c>
      <c r="B17" s="76" t="s">
        <v>56</v>
      </c>
      <c r="C17" s="191">
        <f>'Financial BUDGET'!C11</f>
        <v>-17486457.32</v>
      </c>
      <c r="D17" s="191">
        <f>'Financial BUDGET'!D11</f>
        <v>-17080683.32</v>
      </c>
      <c r="E17" s="191">
        <f>'Financial BUDGET'!E11</f>
        <v>-18779074.32</v>
      </c>
      <c r="F17" s="191">
        <f>'Financial BUDGET'!F11</f>
        <v>-16393725.940000001</v>
      </c>
      <c r="G17" s="191">
        <f>'Financial BUDGET'!G11</f>
        <v>-18198123.939999998</v>
      </c>
      <c r="H17" s="191">
        <f>'Financial BUDGET'!H11</f>
        <v>-18745041.939999998</v>
      </c>
      <c r="I17" s="191">
        <f>'Financial BUDGET'!I11</f>
        <v>-20438972.939999998</v>
      </c>
      <c r="J17" s="191">
        <f>'Financial BUDGET'!J11</f>
        <v>-19896925.939999998</v>
      </c>
      <c r="K17" s="191">
        <f>'Financial BUDGET'!K11</f>
        <v>-20741539.48</v>
      </c>
      <c r="L17" s="191">
        <f>'Financial BUDGET'!L11</f>
        <v>-17125160.940000001</v>
      </c>
      <c r="M17" s="191">
        <f>'Financial BUDGET'!M11</f>
        <v>-18572607.939999998</v>
      </c>
      <c r="N17" s="191">
        <f>'Financial BUDGET'!N11</f>
        <v>-19240921.939999998</v>
      </c>
      <c r="O17" s="78"/>
      <c r="P17" s="78"/>
      <c r="Q17" s="78"/>
      <c r="R17" s="78"/>
      <c r="S17" s="78"/>
      <c r="T17" s="78"/>
      <c r="U17" s="78"/>
      <c r="V17" s="78"/>
    </row>
    <row r="18" spans="1:22 16384:16384" s="177" customFormat="1" ht="12.75" customHeight="1">
      <c r="A18" s="76"/>
      <c r="B18" s="76" t="s">
        <v>81</v>
      </c>
      <c r="C18" s="191">
        <f>SUMIFS('Financial BUDGET'!C$11:C$14,'Financial BUDGET'!$B$11:$B$14,'Variance Analysis'!$B18)</f>
        <v>150914</v>
      </c>
      <c r="D18" s="191">
        <f>SUMIFS('Financial BUDGET'!D$11:D$14,'Financial BUDGET'!$B$11:$B$14,'Variance Analysis'!$B18)</f>
        <v>150914</v>
      </c>
      <c r="E18" s="191">
        <f>SUMIFS('Financial BUDGET'!E$11:E$14,'Financial BUDGET'!$B$11:$B$14,'Variance Analysis'!$B18)</f>
        <v>150914</v>
      </c>
      <c r="F18" s="191">
        <f>SUMIFS('Financial BUDGET'!F$11:F$14,'Financial BUDGET'!$B$11:$B$14,'Variance Analysis'!$B18)</f>
        <v>145582</v>
      </c>
      <c r="G18" s="191">
        <f>SUMIFS('Financial BUDGET'!G$11:G$14,'Financial BUDGET'!$B$11:$B$14,'Variance Analysis'!$B18)</f>
        <v>145582</v>
      </c>
      <c r="H18" s="191">
        <f>SUMIFS('Financial BUDGET'!H$11:H$14,'Financial BUDGET'!$B$11:$B$14,'Variance Analysis'!$B18)</f>
        <v>341130</v>
      </c>
      <c r="I18" s="191">
        <f>SUMIFS('Financial BUDGET'!I$11:I$14,'Financial BUDGET'!$B$11:$B$14,'Variance Analysis'!$B18)</f>
        <v>341130</v>
      </c>
      <c r="J18" s="191">
        <f>SUMIFS('Financial BUDGET'!J$11:J$14,'Financial BUDGET'!$B$11:$B$14,'Variance Analysis'!$B18)</f>
        <v>528180</v>
      </c>
      <c r="K18" s="191">
        <f>SUMIFS('Financial BUDGET'!K$11:K$14,'Financial BUDGET'!$B$11:$B$14,'Variance Analysis'!$B18)</f>
        <v>528180</v>
      </c>
      <c r="L18" s="191">
        <f>SUMIFS('Financial BUDGET'!L$11:L$14,'Financial BUDGET'!$B$11:$B$14,'Variance Analysis'!$B18)</f>
        <v>145582</v>
      </c>
      <c r="M18" s="191">
        <f>SUMIFS('Financial BUDGET'!M$11:M$14,'Financial BUDGET'!$B$11:$B$14,'Variance Analysis'!$B18)</f>
        <v>145582</v>
      </c>
      <c r="N18" s="191">
        <f>SUMIFS('Financial BUDGET'!N$11:N$14,'Financial BUDGET'!$B$11:$B$14,'Variance Analysis'!$B18)</f>
        <v>145582</v>
      </c>
      <c r="O18" s="78"/>
      <c r="P18" s="78"/>
      <c r="Q18" s="78"/>
      <c r="R18" s="78"/>
      <c r="S18" s="78"/>
      <c r="T18" s="78"/>
      <c r="U18" s="78"/>
      <c r="V18" s="78"/>
    </row>
    <row r="19" spans="1:22 16384:16384" s="177" customFormat="1" ht="12.75" customHeight="1">
      <c r="A19" s="76"/>
      <c r="B19" s="76" t="s">
        <v>82</v>
      </c>
      <c r="C19" s="191">
        <f>SUMIFS('Financial BUDGET'!C$11:C$14,'Financial BUDGET'!$B$11:$B$14,'Variance Analysis'!$B19)</f>
        <v>4850</v>
      </c>
      <c r="D19" s="191">
        <f>SUMIFS('Financial BUDGET'!D$11:D$14,'Financial BUDGET'!$B$11:$B$14,'Variance Analysis'!$B19)</f>
        <v>9600</v>
      </c>
      <c r="E19" s="191">
        <f>SUMIFS('Financial BUDGET'!E$11:E$14,'Financial BUDGET'!$B$11:$B$14,'Variance Analysis'!$B19)</f>
        <v>4850</v>
      </c>
      <c r="F19" s="191">
        <f>SUMIFS('Financial BUDGET'!F$11:F$14,'Financial BUDGET'!$B$11:$B$14,'Variance Analysis'!$B19)</f>
        <v>4850</v>
      </c>
      <c r="G19" s="191">
        <f>SUMIFS('Financial BUDGET'!G$11:G$14,'Financial BUDGET'!$B$11:$B$14,'Variance Analysis'!$B19)</f>
        <v>4850</v>
      </c>
      <c r="H19" s="191">
        <f>SUMIFS('Financial BUDGET'!H$11:H$14,'Financial BUDGET'!$B$11:$B$14,'Variance Analysis'!$B19)</f>
        <v>4850</v>
      </c>
      <c r="I19" s="191">
        <f>SUMIFS('Financial BUDGET'!I$11:I$14,'Financial BUDGET'!$B$11:$B$14,'Variance Analysis'!$B19)</f>
        <v>4850</v>
      </c>
      <c r="J19" s="191">
        <f>SUMIFS('Financial BUDGET'!J$11:J$14,'Financial BUDGET'!$B$11:$B$14,'Variance Analysis'!$B19)</f>
        <v>9600</v>
      </c>
      <c r="K19" s="191">
        <f>SUMIFS('Financial BUDGET'!K$11:K$14,'Financial BUDGET'!$B$11:$B$14,'Variance Analysis'!$B19)</f>
        <v>4850</v>
      </c>
      <c r="L19" s="191">
        <f>SUMIFS('Financial BUDGET'!L$11:L$14,'Financial BUDGET'!$B$11:$B$14,'Variance Analysis'!$B19)</f>
        <v>4850</v>
      </c>
      <c r="M19" s="191">
        <f>SUMIFS('Financial BUDGET'!M$11:M$14,'Financial BUDGET'!$B$11:$B$14,'Variance Analysis'!$B19)</f>
        <v>4850</v>
      </c>
      <c r="N19" s="191">
        <f>SUMIFS('Financial BUDGET'!N$11:N$14,'Financial BUDGET'!$B$11:$B$14,'Variance Analysis'!$B19)</f>
        <v>4850</v>
      </c>
      <c r="O19" s="78"/>
      <c r="P19" s="78"/>
      <c r="Q19" s="78"/>
      <c r="R19" s="78"/>
      <c r="S19" s="78"/>
      <c r="T19" s="78"/>
      <c r="U19" s="78"/>
      <c r="V19" s="78"/>
    </row>
    <row r="20" spans="1:22 16384:16384" s="177" customFormat="1" ht="12.75" customHeight="1">
      <c r="A20" s="76"/>
      <c r="B20" s="76" t="s">
        <v>100</v>
      </c>
      <c r="C20" s="191">
        <f>'Financial BUDGET'!C38</f>
        <v>5306245.1399999997</v>
      </c>
      <c r="D20" s="191">
        <f>'Financial BUDGET'!D38</f>
        <v>4773912.8199999994</v>
      </c>
      <c r="E20" s="191">
        <f>'Financial BUDGET'!E38</f>
        <v>4697833.7299999995</v>
      </c>
      <c r="F20" s="191">
        <f>'Financial BUDGET'!F38</f>
        <v>2982712.6999999997</v>
      </c>
      <c r="G20" s="191">
        <f>'Financial BUDGET'!G38</f>
        <v>6311780.6000000006</v>
      </c>
      <c r="H20" s="191">
        <f>'Financial BUDGET'!H38</f>
        <v>2025499.16</v>
      </c>
      <c r="I20" s="191">
        <f>'Financial BUDGET'!I38</f>
        <v>3457616.66</v>
      </c>
      <c r="J20" s="191">
        <f>'Financial BUDGET'!J38</f>
        <v>2884003.88</v>
      </c>
      <c r="K20" s="191">
        <f>'Financial BUDGET'!K38</f>
        <v>2408511.39</v>
      </c>
      <c r="L20" s="191">
        <f>'Financial BUDGET'!L38</f>
        <v>4555248.4799999995</v>
      </c>
      <c r="M20" s="191">
        <f>'Financial BUDGET'!M38</f>
        <v>4548727.24</v>
      </c>
      <c r="N20" s="191">
        <f>'Financial BUDGET'!N38</f>
        <v>4544356.8599999994</v>
      </c>
      <c r="O20" s="78"/>
      <c r="P20" s="78"/>
      <c r="Q20" s="78"/>
      <c r="R20" s="78"/>
      <c r="S20" s="78"/>
      <c r="T20" s="78"/>
      <c r="U20" s="78"/>
      <c r="V20" s="78"/>
    </row>
    <row r="21" spans="1:22 16384:16384" s="177" customFormat="1" ht="12.75" customHeight="1">
      <c r="A21" s="76" t="s">
        <v>94</v>
      </c>
      <c r="B21" s="76" t="s">
        <v>56</v>
      </c>
      <c r="C21" s="191">
        <f>'Financial BUDGET'!C15</f>
        <v>-42239683.579999998</v>
      </c>
      <c r="D21" s="191">
        <f>'Financial BUDGET'!D15</f>
        <v>-37985078.340000004</v>
      </c>
      <c r="E21" s="191">
        <f>'Financial BUDGET'!E15</f>
        <v>-39634663.370000005</v>
      </c>
      <c r="F21" s="191">
        <f>'Financial BUDGET'!F15</f>
        <v>-33611767.189999998</v>
      </c>
      <c r="G21" s="191">
        <f>'Financial BUDGET'!G15</f>
        <v>-39174034.289999999</v>
      </c>
      <c r="H21" s="191">
        <f>'Financial BUDGET'!H15</f>
        <v>-39715344.68</v>
      </c>
      <c r="I21" s="191">
        <f>'Financial BUDGET'!I15</f>
        <v>-48595312.140000001</v>
      </c>
      <c r="J21" s="191">
        <f>'Financial BUDGET'!J15</f>
        <v>-46554943.359999999</v>
      </c>
      <c r="K21" s="191">
        <f>'Financial BUDGET'!K15</f>
        <v>-47155447.079999998</v>
      </c>
      <c r="L21" s="191">
        <f>'Financial BUDGET'!L15</f>
        <v>-44259143.859999999</v>
      </c>
      <c r="M21" s="191">
        <f>'Financial BUDGET'!M15</f>
        <v>-43122999.579999998</v>
      </c>
      <c r="N21" s="191">
        <f>'Financial BUDGET'!N15</f>
        <v>-46202153.019999996</v>
      </c>
      <c r="O21" s="78"/>
      <c r="P21" s="78"/>
      <c r="Q21" s="78"/>
      <c r="R21" s="78"/>
      <c r="S21" s="78"/>
      <c r="T21" s="78"/>
      <c r="U21" s="78"/>
      <c r="V21" s="78"/>
    </row>
    <row r="22" spans="1:22 16384:16384" s="177" customFormat="1" ht="12.75" customHeight="1">
      <c r="A22" s="76"/>
      <c r="B22" s="76" t="s">
        <v>81</v>
      </c>
      <c r="C22" s="191">
        <f>SUMIFS('Financial BUDGET'!C$15:C$18,'Financial BUDGET'!$B$15:$B$18,'Variance Analysis'!$B22)</f>
        <v>350895</v>
      </c>
      <c r="D22" s="191">
        <f>SUMIFS('Financial BUDGET'!D$15:D$18,'Financial BUDGET'!$B$15:$B$18,'Variance Analysis'!$B22)</f>
        <v>350895</v>
      </c>
      <c r="E22" s="191">
        <f>SUMIFS('Financial BUDGET'!E$15:E$18,'Financial BUDGET'!$B$15:$B$18,'Variance Analysis'!$B22)</f>
        <v>350895</v>
      </c>
      <c r="F22" s="191">
        <f>SUMIFS('Financial BUDGET'!F$15:F$18,'Financial BUDGET'!$B$15:$B$18,'Variance Analysis'!$B22)</f>
        <v>342470</v>
      </c>
      <c r="G22" s="191">
        <f>SUMIFS('Financial BUDGET'!G$15:G$18,'Financial BUDGET'!$B$15:$B$18,'Variance Analysis'!$B22)</f>
        <v>342470</v>
      </c>
      <c r="H22" s="191">
        <f>SUMIFS('Financial BUDGET'!H$15:H$18,'Financial BUDGET'!$B$15:$B$18,'Variance Analysis'!$B22)</f>
        <v>763807</v>
      </c>
      <c r="I22" s="191">
        <f>SUMIFS('Financial BUDGET'!I$15:I$18,'Financial BUDGET'!$B$15:$B$18,'Variance Analysis'!$B22)</f>
        <v>763807</v>
      </c>
      <c r="J22" s="191">
        <f>SUMIFS('Financial BUDGET'!J$15:J$18,'Financial BUDGET'!$B$15:$B$18,'Variance Analysis'!$B22)</f>
        <v>1166828</v>
      </c>
      <c r="K22" s="191">
        <f>SUMIFS('Financial BUDGET'!K$15:K$18,'Financial BUDGET'!$B$15:$B$18,'Variance Analysis'!$B22)</f>
        <v>1166828</v>
      </c>
      <c r="L22" s="191">
        <f>SUMIFS('Financial BUDGET'!L$15:L$18,'Financial BUDGET'!$B$15:$B$18,'Variance Analysis'!$B22)</f>
        <v>342470</v>
      </c>
      <c r="M22" s="191">
        <f>SUMIFS('Financial BUDGET'!M$15:M$18,'Financial BUDGET'!$B$15:$B$18,'Variance Analysis'!$B22)</f>
        <v>342470</v>
      </c>
      <c r="N22" s="191">
        <f>SUMIFS('Financial BUDGET'!N$15:N$18,'Financial BUDGET'!$B$15:$B$18,'Variance Analysis'!$B22)</f>
        <v>342470</v>
      </c>
      <c r="O22" s="78"/>
      <c r="P22" s="78"/>
      <c r="Q22" s="78"/>
      <c r="R22" s="78"/>
      <c r="S22" s="78"/>
      <c r="T22" s="78"/>
      <c r="U22" s="78"/>
      <c r="V22" s="78"/>
    </row>
    <row r="23" spans="1:22 16384:16384" s="177" customFormat="1" ht="12.75" customHeight="1">
      <c r="A23" s="76"/>
      <c r="B23" s="76" t="s">
        <v>82</v>
      </c>
      <c r="C23" s="191">
        <f>SUMIFS('Financial BUDGET'!C$15:C$18,'Financial BUDGET'!$B$15:$B$18,'Variance Analysis'!$B23)</f>
        <v>513912.54</v>
      </c>
      <c r="D23" s="191">
        <f>SUMIFS('Financial BUDGET'!D$15:D$18,'Financial BUDGET'!$B$15:$B$18,'Variance Analysis'!$B23)</f>
        <v>518662.54</v>
      </c>
      <c r="E23" s="191">
        <f>SUMIFS('Financial BUDGET'!E$15:E$18,'Financial BUDGET'!$B$15:$B$18,'Variance Analysis'!$B23)</f>
        <v>513836.27999999997</v>
      </c>
      <c r="F23" s="191">
        <f>SUMIFS('Financial BUDGET'!F$15:F$18,'Financial BUDGET'!$B$15:$B$18,'Variance Analysis'!$B23)</f>
        <v>513912.54</v>
      </c>
      <c r="G23" s="191">
        <f>SUMIFS('Financial BUDGET'!G$15:G$18,'Financial BUDGET'!$B$15:$B$18,'Variance Analysis'!$B23)</f>
        <v>513912.54</v>
      </c>
      <c r="H23" s="191">
        <f>SUMIFS('Financial BUDGET'!H$15:H$18,'Financial BUDGET'!$B$15:$B$18,'Variance Analysis'!$B23)</f>
        <v>513912.54</v>
      </c>
      <c r="I23" s="191">
        <f>SUMIFS('Financial BUDGET'!I$15:I$18,'Financial BUDGET'!$B$15:$B$18,'Variance Analysis'!$B23)</f>
        <v>513912.54</v>
      </c>
      <c r="J23" s="191">
        <f>SUMIFS('Financial BUDGET'!J$15:J$18,'Financial BUDGET'!$B$15:$B$18,'Variance Analysis'!$B23)</f>
        <v>518662.54</v>
      </c>
      <c r="K23" s="191">
        <f>SUMIFS('Financial BUDGET'!K$15:K$18,'Financial BUDGET'!$B$15:$B$18,'Variance Analysis'!$B23)</f>
        <v>513912.54</v>
      </c>
      <c r="L23" s="191">
        <f>SUMIFS('Financial BUDGET'!L$15:L$18,'Financial BUDGET'!$B$15:$B$18,'Variance Analysis'!$B23)</f>
        <v>513912.54</v>
      </c>
      <c r="M23" s="191">
        <f>SUMIFS('Financial BUDGET'!M$15:M$18,'Financial BUDGET'!$B$15:$B$18,'Variance Analysis'!$B23)</f>
        <v>513912.54</v>
      </c>
      <c r="N23" s="191">
        <f>SUMIFS('Financial BUDGET'!N$15:N$18,'Financial BUDGET'!$B$15:$B$18,'Variance Analysis'!$B23)</f>
        <v>513912.54</v>
      </c>
      <c r="O23" s="78"/>
      <c r="P23" s="78"/>
      <c r="Q23" s="78"/>
      <c r="R23" s="78"/>
      <c r="S23" s="78"/>
      <c r="T23" s="78"/>
      <c r="U23" s="78"/>
      <c r="V23" s="78"/>
    </row>
    <row r="24" spans="1:22 16384:16384" s="177" customFormat="1" ht="12.75" customHeight="1">
      <c r="A24" s="76"/>
      <c r="B24" s="178" t="s">
        <v>100</v>
      </c>
      <c r="C24" s="191">
        <f>SUM('Financial BUDGET'!C42:C45)</f>
        <v>18333234.599999998</v>
      </c>
      <c r="D24" s="191">
        <f>SUM('Financial BUDGET'!D42:D45)</f>
        <v>18175809.440000001</v>
      </c>
      <c r="E24" s="191">
        <f>SUM('Financial BUDGET'!E42:E45)</f>
        <v>24520840.240000002</v>
      </c>
      <c r="F24" s="191">
        <f>SUM('Financial BUDGET'!F42:F45)</f>
        <v>24546501.299999997</v>
      </c>
      <c r="G24" s="191">
        <f>SUM('Financial BUDGET'!G42:G45)</f>
        <v>26304420.650000002</v>
      </c>
      <c r="H24" s="191">
        <f>SUM('Financial BUDGET'!H42:H45)</f>
        <v>17038222.419999998</v>
      </c>
      <c r="I24" s="191">
        <f>SUM('Financial BUDGET'!I42:I45)</f>
        <v>15566958.25</v>
      </c>
      <c r="J24" s="191">
        <f>SUM('Financial BUDGET'!J42:J45)</f>
        <v>15139947.07</v>
      </c>
      <c r="K24" s="191">
        <f>SUM('Financial BUDGET'!K42:K45)</f>
        <v>16394331.83</v>
      </c>
      <c r="L24" s="191">
        <f>SUM('Financial BUDGET'!L42:L45)</f>
        <v>18260204.530000001</v>
      </c>
      <c r="M24" s="191">
        <f>SUM('Financial BUDGET'!M42:M45)</f>
        <v>18516572.860000003</v>
      </c>
      <c r="N24" s="191">
        <f>SUM('Financial BUDGET'!N42:N45)</f>
        <v>20655581.139999997</v>
      </c>
      <c r="O24" s="178"/>
      <c r="P24" s="178"/>
      <c r="Q24" s="178"/>
      <c r="R24" s="178"/>
      <c r="S24" s="178"/>
      <c r="T24" s="178"/>
      <c r="U24" s="178"/>
      <c r="V24" s="178"/>
    </row>
    <row r="25" spans="1:22 16384:16384" s="72" customFormat="1" ht="27.6" customHeight="1">
      <c r="A25" s="137" t="s">
        <v>101</v>
      </c>
      <c r="B25" s="89"/>
      <c r="C25" s="89"/>
      <c r="D25" s="89"/>
      <c r="E25" s="89"/>
      <c r="F25" s="89"/>
      <c r="G25" s="89"/>
      <c r="H25" s="89"/>
      <c r="I25" s="89"/>
      <c r="J25" s="89"/>
      <c r="K25" s="89"/>
      <c r="L25" s="89"/>
      <c r="M25" s="89"/>
      <c r="N25" s="89"/>
      <c r="O25" s="89"/>
      <c r="P25" s="89"/>
      <c r="Q25" s="89"/>
      <c r="R25" s="89"/>
      <c r="S25" s="89"/>
      <c r="T25" s="89"/>
      <c r="U25" s="89"/>
      <c r="V25" s="89"/>
    </row>
    <row r="26" spans="1:22 16384:16384" s="72" customFormat="1" ht="57.95" customHeight="1">
      <c r="A26" s="275" t="s">
        <v>102</v>
      </c>
      <c r="B26" s="276"/>
      <c r="C26" s="276"/>
      <c r="D26" s="276"/>
      <c r="E26" s="276"/>
      <c r="F26" s="276"/>
      <c r="G26" s="276"/>
      <c r="H26" s="276"/>
      <c r="I26" s="276"/>
      <c r="J26" s="276"/>
      <c r="K26" s="276"/>
      <c r="L26" s="89"/>
      <c r="M26" s="89"/>
      <c r="N26" s="89"/>
      <c r="O26" s="89"/>
      <c r="P26" s="89"/>
      <c r="Q26" s="89"/>
      <c r="R26" s="89"/>
      <c r="S26" s="89"/>
      <c r="T26" s="89"/>
      <c r="U26" s="89"/>
      <c r="V26" s="89"/>
    </row>
    <row r="27" spans="1:22 16384:16384" s="70" customFormat="1" ht="15" customHeight="1"/>
    <row r="28" spans="1:22 16384:16384" s="276" customFormat="1" ht="12.95" customHeight="1">
      <c r="A28" s="275" t="s">
        <v>103</v>
      </c>
    </row>
    <row r="29" spans="1:22 16384:16384" ht="27.6" customHeight="1">
      <c r="A29" s="179" t="s">
        <v>94</v>
      </c>
      <c r="B29" s="163"/>
      <c r="C29" s="101" t="s">
        <v>43</v>
      </c>
      <c r="D29" s="101" t="s">
        <v>44</v>
      </c>
      <c r="E29" s="101" t="s">
        <v>45</v>
      </c>
      <c r="F29" s="101" t="s">
        <v>46</v>
      </c>
      <c r="G29" s="101" t="s">
        <v>47</v>
      </c>
      <c r="H29" s="101" t="s">
        <v>48</v>
      </c>
      <c r="I29" s="101" t="s">
        <v>49</v>
      </c>
      <c r="J29" s="101" t="s">
        <v>50</v>
      </c>
      <c r="K29" s="101" t="s">
        <v>51</v>
      </c>
      <c r="L29" s="101" t="s">
        <v>52</v>
      </c>
      <c r="M29" s="101" t="s">
        <v>53</v>
      </c>
      <c r="N29" s="101" t="s">
        <v>54</v>
      </c>
      <c r="O29" s="66"/>
      <c r="P29" s="66"/>
      <c r="Q29" s="66"/>
      <c r="R29" s="66"/>
      <c r="S29" s="66"/>
      <c r="T29" s="66"/>
      <c r="U29" s="66"/>
      <c r="V29" s="66"/>
    </row>
    <row r="30" spans="1:22 16384:16384" s="177" customFormat="1" ht="12.75" customHeight="1">
      <c r="A30" s="25" t="s">
        <v>55</v>
      </c>
      <c r="B30" s="26" t="s">
        <v>56</v>
      </c>
      <c r="C30" s="191">
        <f>'Financial ACTUALS'!E5</f>
        <v>-8460389.8399999999</v>
      </c>
      <c r="D30" s="191">
        <f>'Financial ACTUALS'!F5</f>
        <v>-8149859.6999999993</v>
      </c>
      <c r="E30" s="191">
        <f>'Financial ACTUALS'!G5</f>
        <v>-7531701.29</v>
      </c>
      <c r="F30" s="191">
        <f>'Financial ACTUALS'!H5</f>
        <v>-7473771.8099999996</v>
      </c>
      <c r="G30" s="191">
        <f>'Financial ACTUALS'!I5</f>
        <v>-7892157.04</v>
      </c>
      <c r="H30" s="191">
        <f>'Financial ACTUALS'!J5</f>
        <v>-7699347.6500000004</v>
      </c>
      <c r="I30" s="191">
        <f>'Financial ACTUALS'!K5</f>
        <v>-11178158.369999999</v>
      </c>
      <c r="J30" s="191">
        <f>'Financial ACTUALS'!L5</f>
        <v>-9894599.1999999993</v>
      </c>
      <c r="K30" s="191">
        <f>'Financial ACTUALS'!M5</f>
        <v>-10434056.43</v>
      </c>
      <c r="L30" s="191">
        <f>'Financial ACTUALS'!N5</f>
        <v>-7635103.0900000008</v>
      </c>
      <c r="M30" s="191">
        <f>'Financial ACTUALS'!O5</f>
        <v>-7710730.1799999997</v>
      </c>
      <c r="N30" s="191">
        <f>'Financial ACTUALS'!P5</f>
        <v>-7415391.3399999999</v>
      </c>
      <c r="O30" s="178"/>
      <c r="P30" s="178"/>
      <c r="Q30" s="178"/>
      <c r="R30" s="178"/>
      <c r="S30" s="178"/>
      <c r="T30" s="178"/>
      <c r="U30" s="178"/>
      <c r="V30" s="178"/>
      <c r="XFD30" s="76"/>
    </row>
    <row r="31" spans="1:22 16384:16384" s="177" customFormat="1" ht="12.75" customHeight="1">
      <c r="A31" s="76"/>
      <c r="B31" s="76" t="s">
        <v>81</v>
      </c>
      <c r="C31" s="191">
        <f>'Financial ACTUALS'!E6</f>
        <v>35500.949999999997</v>
      </c>
      <c r="D31" s="191">
        <f>SUMIFS('Financial ACTUALS'!F$5:F$7,'Financial ACTUALS'!$D$5:$D$7,'Variance Analysis'!$B31)</f>
        <v>24210.95</v>
      </c>
      <c r="E31" s="191">
        <f>SUMIFS('Financial ACTUALS'!G$5:G$7,'Financial ACTUALS'!$D$5:$D$7,'Variance Analysis'!$B31)</f>
        <v>41241.32</v>
      </c>
      <c r="F31" s="191">
        <f>SUMIFS('Financial ACTUALS'!H$5:H$7,'Financial ACTUALS'!$D$5:$D$7,'Variance Analysis'!$B31)</f>
        <v>26123</v>
      </c>
      <c r="G31" s="191">
        <f>SUMIFS('Financial ACTUALS'!I$5:I$7,'Financial ACTUALS'!$D$5:$D$7,'Variance Analysis'!$B31)</f>
        <v>32233</v>
      </c>
      <c r="H31" s="191">
        <f>SUMIFS('Financial ACTUALS'!J$5:J$7,'Financial ACTUALS'!$D$5:$D$7,'Variance Analysis'!$B31)</f>
        <v>31527</v>
      </c>
      <c r="I31" s="191">
        <f>SUMIFS('Financial ACTUALS'!K$5:K$7,'Financial ACTUALS'!$D$5:$D$7,'Variance Analysis'!$B31)</f>
        <v>32471</v>
      </c>
      <c r="J31" s="191">
        <f>SUMIFS('Financial ACTUALS'!L$5:L$7,'Financial ACTUALS'!$D$5:$D$7,'Variance Analysis'!$B31)</f>
        <v>35288</v>
      </c>
      <c r="K31" s="191">
        <f>SUMIFS('Financial ACTUALS'!M$5:M$7,'Financial ACTUALS'!$D$5:$D$7,'Variance Analysis'!$B31)</f>
        <v>27349</v>
      </c>
      <c r="L31" s="191">
        <f>SUMIFS('Financial ACTUALS'!N$5:N$7,'Financial ACTUALS'!$D$5:$D$7,'Variance Analysis'!$B31)</f>
        <v>27343</v>
      </c>
      <c r="M31" s="191">
        <f>SUMIFS('Financial ACTUALS'!O$5:O$7,'Financial ACTUALS'!$D$5:$D$7,'Variance Analysis'!$B31)</f>
        <v>28172</v>
      </c>
      <c r="N31" s="191">
        <f>SUMIFS('Financial ACTUALS'!P$5:P$7,'Financial ACTUALS'!$D$5:$D$7,'Variance Analysis'!$B31)</f>
        <v>33589</v>
      </c>
      <c r="O31" s="178"/>
      <c r="P31" s="178"/>
      <c r="Q31" s="178"/>
      <c r="R31" s="178"/>
      <c r="S31" s="178"/>
      <c r="T31" s="178"/>
      <c r="U31" s="178"/>
      <c r="V31" s="178"/>
    </row>
    <row r="32" spans="1:22 16384:16384" s="177" customFormat="1" ht="12.75" customHeight="1">
      <c r="A32" s="76"/>
      <c r="B32" s="76" t="s">
        <v>82</v>
      </c>
      <c r="C32" s="191">
        <f>'Financial ACTUALS'!E7</f>
        <v>19203.259999999998</v>
      </c>
      <c r="D32" s="191">
        <f>SUMIFS('Financial ACTUALS'!F$5:F$7,'Financial ACTUALS'!$D$5:$D$7,'Variance Analysis'!$B32)</f>
        <v>31298.22</v>
      </c>
      <c r="E32" s="191">
        <f>SUMIFS('Financial ACTUALS'!G$5:G$7,'Financial ACTUALS'!$D$5:$D$7,'Variance Analysis'!$B32)</f>
        <v>21242.74</v>
      </c>
      <c r="F32" s="191">
        <f>SUMIFS('Financial ACTUALS'!H$5:H$7,'Financial ACTUALS'!$D$5:$D$7,'Variance Analysis'!$B32)</f>
        <v>25800</v>
      </c>
      <c r="G32" s="191">
        <f>SUMIFS('Financial ACTUALS'!I$5:I$7,'Financial ACTUALS'!$D$5:$D$7,'Variance Analysis'!$B32)</f>
        <v>28652</v>
      </c>
      <c r="H32" s="191">
        <f>SUMIFS('Financial ACTUALS'!J$5:J$7,'Financial ACTUALS'!$D$5:$D$7,'Variance Analysis'!$B32)</f>
        <v>31034</v>
      </c>
      <c r="I32" s="191">
        <f>SUMIFS('Financial ACTUALS'!K$5:K$7,'Financial ACTUALS'!$D$5:$D$7,'Variance Analysis'!$B32)</f>
        <v>29518</v>
      </c>
      <c r="J32" s="191">
        <f>SUMIFS('Financial ACTUALS'!L$5:L$7,'Financial ACTUALS'!$D$5:$D$7,'Variance Analysis'!$B32)</f>
        <v>28654</v>
      </c>
      <c r="K32" s="191">
        <f>SUMIFS('Financial ACTUALS'!M$5:M$7,'Financial ACTUALS'!$D$5:$D$7,'Variance Analysis'!$B32)</f>
        <v>21938</v>
      </c>
      <c r="L32" s="191">
        <f>SUMIFS('Financial ACTUALS'!N$5:N$7,'Financial ACTUALS'!$D$5:$D$7,'Variance Analysis'!$B32)</f>
        <v>30933</v>
      </c>
      <c r="M32" s="191">
        <f>SUMIFS('Financial ACTUALS'!O$5:O$7,'Financial ACTUALS'!$D$5:$D$7,'Variance Analysis'!$B32)</f>
        <v>27132</v>
      </c>
      <c r="N32" s="191">
        <f>SUMIFS('Financial ACTUALS'!P$5:P$7,'Financial ACTUALS'!$D$5:$D$7,'Variance Analysis'!$B32)</f>
        <v>29759</v>
      </c>
      <c r="O32" s="178"/>
      <c r="P32" s="178"/>
      <c r="Q32" s="178"/>
      <c r="R32" s="178"/>
      <c r="S32" s="178"/>
      <c r="T32" s="178"/>
      <c r="U32" s="178"/>
      <c r="V32" s="178"/>
    </row>
    <row r="33" spans="1:22 16384:16384" s="177" customFormat="1" ht="12.75" customHeight="1">
      <c r="A33" s="76"/>
      <c r="B33" s="76" t="s">
        <v>100</v>
      </c>
      <c r="C33" s="191">
        <f>'Financial ACTUALS'!E27</f>
        <v>3355241.0299999896</v>
      </c>
      <c r="D33" s="191">
        <f>'Financial ACTUALS'!F27</f>
        <v>4635971.09</v>
      </c>
      <c r="E33" s="191">
        <f>'Financial ACTUALS'!G27</f>
        <v>3629534.96999999</v>
      </c>
      <c r="F33" s="191">
        <f>'Financial ACTUALS'!H27</f>
        <v>3445023.51</v>
      </c>
      <c r="G33" s="191">
        <f>'Financial ACTUALS'!I27</f>
        <v>3537886.1</v>
      </c>
      <c r="H33" s="191">
        <f>'Financial ACTUALS'!J27</f>
        <v>3402717.4</v>
      </c>
      <c r="I33" s="191">
        <f>'Financial ACTUALS'!K27</f>
        <v>4274662.879999999</v>
      </c>
      <c r="J33" s="191">
        <f>'Financial ACTUALS'!L27</f>
        <v>3598813.38</v>
      </c>
      <c r="K33" s="191">
        <f>'Financial ACTUALS'!M27</f>
        <v>3590616.16</v>
      </c>
      <c r="L33" s="191">
        <f>'Financial ACTUALS'!N27</f>
        <v>3598415.73</v>
      </c>
      <c r="M33" s="191">
        <f>'Financial ACTUALS'!O27</f>
        <v>3821108.75</v>
      </c>
      <c r="N33" s="191">
        <f>'Financial ACTUALS'!P27</f>
        <v>4356345.83</v>
      </c>
      <c r="O33" s="178"/>
      <c r="P33" s="178"/>
      <c r="Q33" s="178"/>
      <c r="R33" s="178"/>
      <c r="S33" s="178"/>
      <c r="T33" s="178"/>
      <c r="U33" s="178"/>
      <c r="V33" s="178"/>
    </row>
    <row r="34" spans="1:22 16384:16384" s="177" customFormat="1" ht="12.75" customHeight="1">
      <c r="A34" s="76" t="s">
        <v>69</v>
      </c>
      <c r="B34" s="76" t="s">
        <v>56</v>
      </c>
      <c r="C34" s="191">
        <f>'Financial ACTUALS'!E8</f>
        <v>-19894012.739999998</v>
      </c>
      <c r="D34" s="191">
        <f>'Financial ACTUALS'!F8</f>
        <v>-16863304.57</v>
      </c>
      <c r="E34" s="191">
        <f>'Financial ACTUALS'!G8</f>
        <v>-18634437.710000001</v>
      </c>
      <c r="F34" s="191">
        <f>'Financial ACTUALS'!H8</f>
        <v>-17531805.759999998</v>
      </c>
      <c r="G34" s="191">
        <f>'Financial ACTUALS'!I8</f>
        <v>-16086473.6</v>
      </c>
      <c r="H34" s="191">
        <f>'Financial ACTUALS'!J8</f>
        <v>-17992774.75</v>
      </c>
      <c r="I34" s="191">
        <f>'Financial ACTUALS'!K8</f>
        <v>-25540140.41</v>
      </c>
      <c r="J34" s="191">
        <f>'Financial ACTUALS'!L8</f>
        <v>-23695398.210000001</v>
      </c>
      <c r="K34" s="191">
        <f>'Financial ACTUALS'!M8</f>
        <v>-22536666.82</v>
      </c>
      <c r="L34" s="191">
        <f>'Financial ACTUALS'!N8</f>
        <v>-18635306.310000002</v>
      </c>
      <c r="M34" s="191">
        <f>'Financial ACTUALS'!O8</f>
        <v>-17104640.780000001</v>
      </c>
      <c r="N34" s="191">
        <f>'Financial ACTUALS'!P8</f>
        <v>-18482607.449999999</v>
      </c>
      <c r="O34" s="178"/>
      <c r="P34" s="178"/>
      <c r="Q34" s="178"/>
      <c r="R34" s="178"/>
      <c r="S34" s="178"/>
      <c r="T34" s="178"/>
      <c r="U34" s="178"/>
      <c r="V34" s="178"/>
    </row>
    <row r="35" spans="1:22 16384:16384" s="177" customFormat="1" ht="12.75" customHeight="1">
      <c r="A35" s="76"/>
      <c r="B35" s="76" t="s">
        <v>81</v>
      </c>
      <c r="C35" s="191">
        <f>SUMIFS('Financial ACTUALS'!E$8:E$10,'Financial ACTUALS'!$D$8:$D$10,'Variance Analysis'!$B35)</f>
        <v>686673.01</v>
      </c>
      <c r="D35" s="191">
        <f>SUMIFS('Financial ACTUALS'!F$8:F$10,'Financial ACTUALS'!$D$8:$D$10,'Variance Analysis'!$B35)</f>
        <v>867081.49</v>
      </c>
      <c r="E35" s="191">
        <f>SUMIFS('Financial ACTUALS'!G$8:G$10,'Financial ACTUALS'!$D$8:$D$10,'Variance Analysis'!$B35)</f>
        <v>6727.15</v>
      </c>
      <c r="F35" s="191">
        <f>SUMIFS('Financial ACTUALS'!H$8:H$10,'Financial ACTUALS'!$D$8:$D$10,'Variance Analysis'!$B35)</f>
        <v>401.530000000006</v>
      </c>
      <c r="G35" s="191">
        <f>SUMIFS('Financial ACTUALS'!I$8:I$10,'Financial ACTUALS'!$D$8:$D$10,'Variance Analysis'!$B35)</f>
        <v>144797.4</v>
      </c>
      <c r="H35" s="191">
        <f>SUMIFS('Financial ACTUALS'!J$8:J$10,'Financial ACTUALS'!$D$8:$D$10,'Variance Analysis'!$B35)</f>
        <v>652415.07999999996</v>
      </c>
      <c r="I35" s="191">
        <f>SUMIFS('Financial ACTUALS'!K$8:K$10,'Financial ACTUALS'!$D$8:$D$10,'Variance Analysis'!$B35)</f>
        <v>27790.66</v>
      </c>
      <c r="J35" s="191">
        <f>SUMIFS('Financial ACTUALS'!L$8:L$10,'Financial ACTUALS'!$D$8:$D$10,'Variance Analysis'!$B35)</f>
        <v>507467.89</v>
      </c>
      <c r="K35" s="191">
        <f>SUMIFS('Financial ACTUALS'!M$8:M$10,'Financial ACTUALS'!$D$8:$D$10,'Variance Analysis'!$B35)</f>
        <v>241353.12</v>
      </c>
      <c r="L35" s="191">
        <f>SUMIFS('Financial ACTUALS'!N$8:N$10,'Financial ACTUALS'!$D$8:$D$10,'Variance Analysis'!$B35)</f>
        <v>95261.1</v>
      </c>
      <c r="M35" s="191">
        <f>SUMIFS('Financial ACTUALS'!O$8:O$10,'Financial ACTUALS'!$D$8:$D$10,'Variance Analysis'!$B35)</f>
        <v>197723.18</v>
      </c>
      <c r="N35" s="191">
        <f>SUMIFS('Financial ACTUALS'!P$8:P$10,'Financial ACTUALS'!$D$8:$D$10,'Variance Analysis'!$B35)</f>
        <v>175247.34</v>
      </c>
      <c r="O35" s="178"/>
      <c r="P35" s="178"/>
      <c r="Q35" s="178"/>
      <c r="R35" s="178"/>
      <c r="S35" s="178"/>
      <c r="T35" s="178"/>
      <c r="U35" s="178"/>
      <c r="V35" s="178"/>
    </row>
    <row r="36" spans="1:22 16384:16384" s="177" customFormat="1" ht="12.75" customHeight="1">
      <c r="A36" s="76"/>
      <c r="B36" s="76" t="s">
        <v>82</v>
      </c>
      <c r="C36" s="191">
        <f>SUMIFS('Financial ACTUALS'!E$8:E$10,'Financial ACTUALS'!$D$8:$D$10,'Variance Analysis'!$B36)</f>
        <v>241931.03000000003</v>
      </c>
      <c r="D36" s="191">
        <f>SUMIFS('Financial ACTUALS'!F$8:F$10,'Financial ACTUALS'!$D$8:$D$10,'Variance Analysis'!$B36)</f>
        <v>228177.66</v>
      </c>
      <c r="E36" s="191">
        <f>SUMIFS('Financial ACTUALS'!G$8:G$10,'Financial ACTUALS'!$D$8:$D$10,'Variance Analysis'!$B36)</f>
        <v>362088.43</v>
      </c>
      <c r="F36" s="191">
        <f>SUMIFS('Financial ACTUALS'!H$8:H$10,'Financial ACTUALS'!$D$8:$D$10,'Variance Analysis'!$B36)</f>
        <v>211688.28</v>
      </c>
      <c r="G36" s="191">
        <f>SUMIFS('Financial ACTUALS'!I$8:I$10,'Financial ACTUALS'!$D$8:$D$10,'Variance Analysis'!$B36)</f>
        <v>237346.23</v>
      </c>
      <c r="H36" s="191">
        <f>SUMIFS('Financial ACTUALS'!J$8:J$10,'Financial ACTUALS'!$D$8:$D$10,'Variance Analysis'!$B36)</f>
        <v>293131.57</v>
      </c>
      <c r="I36" s="191">
        <f>SUMIFS('Financial ACTUALS'!K$8:K$10,'Financial ACTUALS'!$D$8:$D$10,'Variance Analysis'!$B36)</f>
        <v>335872.34</v>
      </c>
      <c r="J36" s="191">
        <f>SUMIFS('Financial ACTUALS'!L$8:L$10,'Financial ACTUALS'!$D$8:$D$10,'Variance Analysis'!$B36)</f>
        <v>333612.56</v>
      </c>
      <c r="K36" s="191">
        <f>SUMIFS('Financial ACTUALS'!M$8:M$10,'Financial ACTUALS'!$D$8:$D$10,'Variance Analysis'!$B36)</f>
        <v>288580.33</v>
      </c>
      <c r="L36" s="191">
        <f>SUMIFS('Financial ACTUALS'!N$8:N$10,'Financial ACTUALS'!$D$8:$D$10,'Variance Analysis'!$B36)</f>
        <v>270114.8</v>
      </c>
      <c r="M36" s="191">
        <f>SUMIFS('Financial ACTUALS'!O$8:O$10,'Financial ACTUALS'!$D$8:$D$10,'Variance Analysis'!$B36)</f>
        <v>279543.5</v>
      </c>
      <c r="N36" s="191">
        <f>SUMIFS('Financial ACTUALS'!P$8:P$10,'Financial ACTUALS'!$D$8:$D$10,'Variance Analysis'!$B36)</f>
        <v>423607.52</v>
      </c>
      <c r="O36" s="178"/>
      <c r="P36" s="178"/>
      <c r="Q36" s="178"/>
      <c r="R36" s="178"/>
      <c r="S36" s="178"/>
      <c r="T36" s="178"/>
      <c r="U36" s="178"/>
      <c r="V36" s="178"/>
    </row>
    <row r="37" spans="1:22 16384:16384" s="177" customFormat="1" ht="12.75" customHeight="1">
      <c r="A37" s="76"/>
      <c r="B37" s="76" t="s">
        <v>100</v>
      </c>
      <c r="C37" s="191">
        <f>'Financial ACTUALS'!E32</f>
        <v>11422413.93</v>
      </c>
      <c r="D37" s="191">
        <f>'Financial ACTUALS'!F32</f>
        <v>13760706</v>
      </c>
      <c r="E37" s="191">
        <f>'Financial ACTUALS'!G32</f>
        <v>13907840.720000001</v>
      </c>
      <c r="F37" s="191">
        <f>'Financial ACTUALS'!H32</f>
        <v>18647198.620000001</v>
      </c>
      <c r="G37" s="191">
        <f>'Financial ACTUALS'!I32</f>
        <v>20171698.659999996</v>
      </c>
      <c r="H37" s="191">
        <f>'Financial ACTUALS'!J32</f>
        <v>10312374.780000001</v>
      </c>
      <c r="I37" s="191">
        <f>'Financial ACTUALS'!K32</f>
        <v>9642006.7300000004</v>
      </c>
      <c r="J37" s="191">
        <f>'Financial ACTUALS'!L32</f>
        <v>11352257.67</v>
      </c>
      <c r="K37" s="191">
        <f>'Financial ACTUALS'!M32</f>
        <v>10349340.02</v>
      </c>
      <c r="L37" s="191">
        <f>'Financial ACTUALS'!N32</f>
        <v>11122716.970000001</v>
      </c>
      <c r="M37" s="191">
        <f>'Financial ACTUALS'!O32</f>
        <v>13043106.200000001</v>
      </c>
      <c r="N37" s="191">
        <f>'Financial ACTUALS'!P32</f>
        <v>6755372.5199999996</v>
      </c>
      <c r="O37" s="178"/>
      <c r="P37" s="178"/>
      <c r="Q37" s="178"/>
      <c r="R37" s="178"/>
      <c r="S37" s="178"/>
      <c r="T37" s="178"/>
      <c r="U37" s="178"/>
      <c r="V37" s="178"/>
    </row>
    <row r="38" spans="1:22 16384:16384" s="177" customFormat="1" ht="12.75" customHeight="1">
      <c r="A38" s="76" t="s">
        <v>84</v>
      </c>
      <c r="B38" s="76" t="s">
        <v>56</v>
      </c>
      <c r="C38" s="191">
        <f>'Financial ACTUALS'!E14</f>
        <v>-14823183.890000001</v>
      </c>
      <c r="D38" s="191">
        <f>'Financial ACTUALS'!F14</f>
        <v>-16339448.65</v>
      </c>
      <c r="E38" s="191">
        <f>'Financial ACTUALS'!G14</f>
        <v>-14895162.68</v>
      </c>
      <c r="F38" s="191">
        <f>'Financial ACTUALS'!H14</f>
        <v>-12698823.350000001</v>
      </c>
      <c r="G38" s="191">
        <f>'Financial ACTUALS'!I14</f>
        <v>-14008587.450000001</v>
      </c>
      <c r="H38" s="191">
        <f>'Financial ACTUALS'!J14</f>
        <v>-12192418.84</v>
      </c>
      <c r="I38" s="191">
        <f>'Financial ACTUALS'!K14</f>
        <v>-17974980.299999997</v>
      </c>
      <c r="J38" s="191">
        <f>'Financial ACTUALS'!L14</f>
        <v>-17248286.52</v>
      </c>
      <c r="K38" s="191">
        <f>'Financial ACTUALS'!M14</f>
        <v>-17157766.699999999</v>
      </c>
      <c r="L38" s="191">
        <f>'Financial ACTUALS'!N14</f>
        <v>-17481320.02</v>
      </c>
      <c r="M38" s="191">
        <f>'Financial ACTUALS'!O14</f>
        <v>-17365877.739999998</v>
      </c>
      <c r="N38" s="191">
        <f>'Financial ACTUALS'!P14</f>
        <v>-18008731.18</v>
      </c>
      <c r="O38" s="178"/>
      <c r="P38" s="178"/>
      <c r="Q38" s="178"/>
      <c r="R38" s="178"/>
      <c r="S38" s="178"/>
      <c r="T38" s="178"/>
      <c r="U38" s="178"/>
      <c r="V38" s="178"/>
      <c r="XFD38" s="76"/>
    </row>
    <row r="39" spans="1:22 16384:16384" s="177" customFormat="1" ht="12.75" customHeight="1">
      <c r="A39" s="76"/>
      <c r="B39" s="76" t="s">
        <v>81</v>
      </c>
      <c r="C39" s="191">
        <f>SUMIFS('Financial ACTUALS'!E$14:E$16,'Financial ACTUALS'!$D$14:$D$16,'Variance Analysis'!$B39)</f>
        <v>125993.22</v>
      </c>
      <c r="D39" s="191">
        <f>SUMIFS('Financial ACTUALS'!F$14:F$16,'Financial ACTUALS'!$D$14:$D$16,'Variance Analysis'!$B39)</f>
        <v>75075.8</v>
      </c>
      <c r="E39" s="191">
        <f>SUMIFS('Financial ACTUALS'!G$14:G$16,'Financial ACTUALS'!$D$14:$D$16,'Variance Analysis'!$B39)</f>
        <v>44153.440000000002</v>
      </c>
      <c r="F39" s="191">
        <f>SUMIFS('Financial ACTUALS'!H$14:H$16,'Financial ACTUALS'!$D$14:$D$16,'Variance Analysis'!$B39)</f>
        <v>71345.01999999999</v>
      </c>
      <c r="G39" s="191">
        <f>SUMIFS('Financial ACTUALS'!I$14:I$16,'Financial ACTUALS'!$D$14:$D$16,'Variance Analysis'!$B39)</f>
        <v>-20479.969999999998</v>
      </c>
      <c r="H39" s="191">
        <f>SUMIFS('Financial ACTUALS'!J$14:J$16,'Financial ACTUALS'!$D$14:$D$16,'Variance Analysis'!$B39)</f>
        <v>9632.59</v>
      </c>
      <c r="I39" s="191">
        <f>SUMIFS('Financial ACTUALS'!K$14:K$16,'Financial ACTUALS'!$D$14:$D$16,'Variance Analysis'!$B39)</f>
        <v>476546.05</v>
      </c>
      <c r="J39" s="191">
        <f>SUMIFS('Financial ACTUALS'!L$14:L$16,'Financial ACTUALS'!$D$14:$D$16,'Variance Analysis'!$B39)</f>
        <v>464219.42</v>
      </c>
      <c r="K39" s="191">
        <f>SUMIFS('Financial ACTUALS'!M$14:M$16,'Financial ACTUALS'!$D$14:$D$16,'Variance Analysis'!$B39)</f>
        <v>221113.88999999998</v>
      </c>
      <c r="L39" s="191">
        <f>SUMIFS('Financial ACTUALS'!N$14:N$16,'Financial ACTUALS'!$D$14:$D$16,'Variance Analysis'!$B39)</f>
        <v>224277.79</v>
      </c>
      <c r="M39" s="191">
        <f>SUMIFS('Financial ACTUALS'!O$14:O$16,'Financial ACTUALS'!$D$14:$D$16,'Variance Analysis'!$B39)</f>
        <v>263709.95</v>
      </c>
      <c r="N39" s="191">
        <f>SUMIFS('Financial ACTUALS'!P$14:P$16,'Financial ACTUALS'!$D$14:$D$16,'Variance Analysis'!$B39)</f>
        <v>-77601.91</v>
      </c>
      <c r="O39" s="178"/>
      <c r="P39" s="178"/>
      <c r="Q39" s="178"/>
      <c r="R39" s="178"/>
      <c r="S39" s="178"/>
      <c r="T39" s="178"/>
      <c r="U39" s="178"/>
      <c r="V39" s="178"/>
    </row>
    <row r="40" spans="1:22 16384:16384" s="177" customFormat="1" ht="12.75" customHeight="1">
      <c r="A40" s="76"/>
      <c r="B40" s="76" t="s">
        <v>82</v>
      </c>
      <c r="C40" s="191">
        <f>SUMIFS('Financial ACTUALS'!E$14:E$16,'Financial ACTUALS'!$D$14:$D$16,'Variance Analysis'!$B40)</f>
        <v>855.07000000000016</v>
      </c>
      <c r="D40" s="191">
        <f>SUMIFS('Financial ACTUALS'!F$14:F$16,'Financial ACTUALS'!$D$14:$D$16,'Variance Analysis'!$B40)</f>
        <v>8643.11</v>
      </c>
      <c r="E40" s="191">
        <f>SUMIFS('Financial ACTUALS'!G$14:G$16,'Financial ACTUALS'!$D$14:$D$16,'Variance Analysis'!$B40)</f>
        <v>7004.54</v>
      </c>
      <c r="F40" s="191">
        <f>SUMIFS('Financial ACTUALS'!H$14:H$16,'Financial ACTUALS'!$D$14:$D$16,'Variance Analysis'!$B40)</f>
        <v>-4277.2699999999986</v>
      </c>
      <c r="G40" s="191">
        <f>SUMIFS('Financial ACTUALS'!I$14:I$16,'Financial ACTUALS'!$D$14:$D$16,'Variance Analysis'!$B40)</f>
        <v>9314.75</v>
      </c>
      <c r="H40" s="191">
        <f>SUMIFS('Financial ACTUALS'!J$14:J$16,'Financial ACTUALS'!$D$14:$D$16,'Variance Analysis'!$B40)</f>
        <v>8194.59</v>
      </c>
      <c r="I40" s="191">
        <f>SUMIFS('Financial ACTUALS'!K$14:K$16,'Financial ACTUALS'!$D$14:$D$16,'Variance Analysis'!$B40)</f>
        <v>12985.24</v>
      </c>
      <c r="J40" s="191">
        <f>SUMIFS('Financial ACTUALS'!L$14:L$16,'Financial ACTUALS'!$D$14:$D$16,'Variance Analysis'!$B40)</f>
        <v>8327.32</v>
      </c>
      <c r="K40" s="191">
        <f>SUMIFS('Financial ACTUALS'!M$14:M$16,'Financial ACTUALS'!$D$14:$D$16,'Variance Analysis'!$B40)</f>
        <v>12745.36</v>
      </c>
      <c r="L40" s="191">
        <f>SUMIFS('Financial ACTUALS'!N$14:N$16,'Financial ACTUALS'!$D$14:$D$16,'Variance Analysis'!$B40)</f>
        <v>7073.15</v>
      </c>
      <c r="M40" s="191">
        <f>SUMIFS('Financial ACTUALS'!O$14:O$16,'Financial ACTUALS'!$D$14:$D$16,'Variance Analysis'!$B40)</f>
        <v>8678.7800000000007</v>
      </c>
      <c r="N40" s="191">
        <f>SUMIFS('Financial ACTUALS'!P$14:P$16,'Financial ACTUALS'!$D$14:$D$16,'Variance Analysis'!$B40)</f>
        <v>12419.05</v>
      </c>
      <c r="O40" s="178"/>
      <c r="P40" s="178"/>
      <c r="Q40" s="178"/>
      <c r="R40" s="178"/>
      <c r="S40" s="178"/>
      <c r="T40" s="178"/>
      <c r="U40" s="178"/>
      <c r="V40" s="178"/>
    </row>
    <row r="41" spans="1:22 16384:16384" s="177" customFormat="1" ht="12.75" customHeight="1">
      <c r="A41" s="76"/>
      <c r="B41" s="76" t="s">
        <v>100</v>
      </c>
      <c r="C41" s="191">
        <f>'Financial ACTUALS'!E39</f>
        <v>5155467.82</v>
      </c>
      <c r="D41" s="191">
        <f>'Financial ACTUALS'!F39</f>
        <v>4107219.28</v>
      </c>
      <c r="E41" s="191">
        <f>'Financial ACTUALS'!G39</f>
        <v>5551987.3199999994</v>
      </c>
      <c r="F41" s="191">
        <f>'Financial ACTUALS'!H39</f>
        <v>4670026.4399999995</v>
      </c>
      <c r="G41" s="191">
        <f>'Financial ACTUALS'!I39</f>
        <v>3971268.39</v>
      </c>
      <c r="H41" s="191">
        <f>'Financial ACTUALS'!J39</f>
        <v>2944600.0500000003</v>
      </c>
      <c r="I41" s="191">
        <f>'Financial ACTUALS'!K39</f>
        <v>3143819.16</v>
      </c>
      <c r="J41" s="191">
        <f>'Financial ACTUALS'!L39</f>
        <v>2699686.7399999998</v>
      </c>
      <c r="K41" s="191">
        <f>'Financial ACTUALS'!M39</f>
        <v>3795500.0700000003</v>
      </c>
      <c r="L41" s="191">
        <f>'Financial ACTUALS'!N39</f>
        <v>2066688.56</v>
      </c>
      <c r="M41" s="191">
        <f>'Financial ACTUALS'!O39</f>
        <v>2668702.2799999993</v>
      </c>
      <c r="N41" s="191">
        <f>'Financial ACTUALS'!P39</f>
        <v>4761502.4300000006</v>
      </c>
      <c r="O41" s="178"/>
      <c r="P41" s="178"/>
      <c r="Q41" s="178"/>
      <c r="R41" s="178"/>
      <c r="S41" s="178"/>
      <c r="T41" s="178"/>
      <c r="U41" s="178"/>
      <c r="V41" s="178"/>
    </row>
    <row r="42" spans="1:22 16384:16384" s="177" customFormat="1" ht="12.75" customHeight="1">
      <c r="A42" s="76" t="str">
        <f>'Financial ACTUALS'!C17</f>
        <v>Total</v>
      </c>
      <c r="B42" s="76" t="s">
        <v>56</v>
      </c>
      <c r="C42" s="191">
        <f>SUM(C30,C34,C38)</f>
        <v>-43177586.469999999</v>
      </c>
      <c r="D42" s="191">
        <f t="shared" ref="D42:N42" si="0">SUM(D30,D34,D38)</f>
        <v>-41352612.920000002</v>
      </c>
      <c r="E42" s="191">
        <f t="shared" si="0"/>
        <v>-41061301.68</v>
      </c>
      <c r="F42" s="191">
        <f t="shared" si="0"/>
        <v>-37704400.920000002</v>
      </c>
      <c r="G42" s="191">
        <f t="shared" si="0"/>
        <v>-37987218.090000004</v>
      </c>
      <c r="H42" s="191">
        <f t="shared" si="0"/>
        <v>-37884541.239999995</v>
      </c>
      <c r="I42" s="191">
        <f t="shared" si="0"/>
        <v>-54693279.079999998</v>
      </c>
      <c r="J42" s="191">
        <f t="shared" si="0"/>
        <v>-50838283.929999992</v>
      </c>
      <c r="K42" s="191">
        <f t="shared" si="0"/>
        <v>-50128489.950000003</v>
      </c>
      <c r="L42" s="191">
        <f t="shared" si="0"/>
        <v>-43751729.420000002</v>
      </c>
      <c r="M42" s="191">
        <f t="shared" si="0"/>
        <v>-42181248.700000003</v>
      </c>
      <c r="N42" s="191">
        <f t="shared" si="0"/>
        <v>-43906729.969999999</v>
      </c>
      <c r="O42" s="178"/>
      <c r="P42" s="178"/>
      <c r="Q42" s="178"/>
      <c r="R42" s="178"/>
      <c r="S42" s="178"/>
      <c r="T42" s="178"/>
      <c r="U42" s="178"/>
      <c r="V42" s="178"/>
    </row>
    <row r="43" spans="1:22 16384:16384" s="177" customFormat="1" ht="12.75" customHeight="1">
      <c r="A43" s="76"/>
      <c r="B43" s="76" t="s">
        <v>81</v>
      </c>
      <c r="C43" s="191">
        <f t="shared" ref="C43:N45" si="1">SUM(C31,C35,C39)</f>
        <v>848167.17999999993</v>
      </c>
      <c r="D43" s="191">
        <f t="shared" si="1"/>
        <v>966368.24</v>
      </c>
      <c r="E43" s="191">
        <f t="shared" si="1"/>
        <v>92121.91</v>
      </c>
      <c r="F43" s="191">
        <f t="shared" si="1"/>
        <v>97869.549999999988</v>
      </c>
      <c r="G43" s="191">
        <f t="shared" si="1"/>
        <v>156550.43</v>
      </c>
      <c r="H43" s="191">
        <f t="shared" si="1"/>
        <v>693574.66999999993</v>
      </c>
      <c r="I43" s="191">
        <f t="shared" si="1"/>
        <v>536807.71</v>
      </c>
      <c r="J43" s="191">
        <f t="shared" si="1"/>
        <v>1006975.31</v>
      </c>
      <c r="K43" s="191">
        <f t="shared" si="1"/>
        <v>489816.01</v>
      </c>
      <c r="L43" s="191">
        <f t="shared" si="1"/>
        <v>346881.89</v>
      </c>
      <c r="M43" s="191">
        <f t="shared" si="1"/>
        <v>489605.13</v>
      </c>
      <c r="N43" s="191">
        <f t="shared" si="1"/>
        <v>131234.43</v>
      </c>
      <c r="O43" s="178"/>
      <c r="P43" s="178"/>
      <c r="Q43" s="178"/>
      <c r="R43" s="178"/>
      <c r="S43" s="178"/>
      <c r="T43" s="178"/>
      <c r="U43" s="178"/>
      <c r="V43" s="178"/>
    </row>
    <row r="44" spans="1:22 16384:16384" ht="12.75" customHeight="1">
      <c r="A44" s="76"/>
      <c r="B44" s="76" t="s">
        <v>82</v>
      </c>
      <c r="C44" s="191">
        <f t="shared" si="1"/>
        <v>261989.36000000004</v>
      </c>
      <c r="D44" s="191">
        <f t="shared" si="1"/>
        <v>268118.99</v>
      </c>
      <c r="E44" s="191">
        <f t="shared" si="1"/>
        <v>390335.70999999996</v>
      </c>
      <c r="F44" s="191">
        <f t="shared" si="1"/>
        <v>233211.01</v>
      </c>
      <c r="G44" s="191">
        <f t="shared" si="1"/>
        <v>275312.98</v>
      </c>
      <c r="H44" s="191">
        <f t="shared" si="1"/>
        <v>332360.16000000003</v>
      </c>
      <c r="I44" s="191">
        <f t="shared" si="1"/>
        <v>378375.58</v>
      </c>
      <c r="J44" s="191">
        <f t="shared" si="1"/>
        <v>370593.88</v>
      </c>
      <c r="K44" s="191">
        <f t="shared" si="1"/>
        <v>323263.69</v>
      </c>
      <c r="L44" s="191">
        <f t="shared" si="1"/>
        <v>308120.95</v>
      </c>
      <c r="M44" s="191">
        <f t="shared" si="1"/>
        <v>315354.28000000003</v>
      </c>
      <c r="N44" s="191">
        <f t="shared" si="1"/>
        <v>465785.57</v>
      </c>
      <c r="O44" s="66"/>
      <c r="P44" s="66"/>
      <c r="Q44" s="66"/>
      <c r="R44" s="66"/>
      <c r="S44" s="66"/>
      <c r="T44" s="66"/>
      <c r="U44" s="66"/>
      <c r="V44" s="66"/>
    </row>
    <row r="45" spans="1:22 16384:16384" ht="12.75" customHeight="1">
      <c r="A45" s="178"/>
      <c r="B45" s="178" t="s">
        <v>100</v>
      </c>
      <c r="C45" s="191">
        <f t="shared" si="1"/>
        <v>19933122.77999999</v>
      </c>
      <c r="D45" s="191">
        <f t="shared" si="1"/>
        <v>22503896.370000001</v>
      </c>
      <c r="E45" s="191">
        <f t="shared" si="1"/>
        <v>23089363.00999999</v>
      </c>
      <c r="F45" s="191">
        <f t="shared" si="1"/>
        <v>26762248.57</v>
      </c>
      <c r="G45" s="191">
        <f t="shared" si="1"/>
        <v>27680853.149999999</v>
      </c>
      <c r="H45" s="191">
        <f t="shared" si="1"/>
        <v>16659692.230000002</v>
      </c>
      <c r="I45" s="191">
        <f t="shared" si="1"/>
        <v>17060488.77</v>
      </c>
      <c r="J45" s="191">
        <f t="shared" si="1"/>
        <v>17650757.789999999</v>
      </c>
      <c r="K45" s="191">
        <f t="shared" si="1"/>
        <v>17735456.25</v>
      </c>
      <c r="L45" s="191">
        <f t="shared" si="1"/>
        <v>16787821.260000002</v>
      </c>
      <c r="M45" s="191">
        <f t="shared" si="1"/>
        <v>19532917.230000004</v>
      </c>
      <c r="N45" s="191">
        <f t="shared" si="1"/>
        <v>15873220.780000001</v>
      </c>
      <c r="O45" s="66"/>
      <c r="P45" s="66"/>
      <c r="Q45" s="66"/>
      <c r="R45" s="66"/>
      <c r="S45" s="66"/>
      <c r="T45" s="66"/>
      <c r="U45" s="66"/>
      <c r="V45" s="66"/>
    </row>
    <row r="46" spans="1:22 16384:16384" s="180" customFormat="1" ht="39.950000000000003" customHeight="1">
      <c r="A46" s="277" t="s">
        <v>104</v>
      </c>
      <c r="B46" s="278"/>
      <c r="C46" s="278"/>
      <c r="D46" s="278"/>
      <c r="E46" s="278"/>
      <c r="F46" s="278"/>
      <c r="G46" s="278"/>
      <c r="H46" s="278"/>
      <c r="I46" s="278"/>
      <c r="J46" s="278"/>
      <c r="K46" s="138"/>
      <c r="L46" s="138"/>
      <c r="M46" s="138"/>
      <c r="N46" s="138"/>
      <c r="O46" s="138"/>
      <c r="P46" s="138"/>
      <c r="Q46" s="138"/>
      <c r="R46" s="138"/>
      <c r="S46" s="138"/>
      <c r="T46" s="138"/>
      <c r="U46" s="138"/>
      <c r="V46" s="138"/>
    </row>
    <row r="47" spans="1:22 16384:16384" s="180" customFormat="1" ht="30" customHeight="1">
      <c r="A47" s="273" t="s">
        <v>105</v>
      </c>
      <c r="B47" s="274"/>
      <c r="C47" s="274"/>
      <c r="D47" s="274"/>
      <c r="E47" s="274"/>
      <c r="F47" s="274"/>
      <c r="G47" s="274"/>
      <c r="H47" s="274"/>
      <c r="I47" s="274"/>
      <c r="J47" s="274"/>
      <c r="K47" s="138"/>
      <c r="L47" s="138"/>
      <c r="M47" s="138"/>
      <c r="N47" s="138"/>
      <c r="O47" s="138"/>
      <c r="P47" s="138"/>
      <c r="Q47" s="138"/>
      <c r="R47" s="138"/>
      <c r="S47" s="138"/>
      <c r="T47" s="138"/>
      <c r="U47" s="138"/>
      <c r="V47" s="138"/>
    </row>
    <row r="48" spans="1:22 16384:16384" s="180" customFormat="1" ht="45.95" customHeight="1">
      <c r="A48" s="273" t="s">
        <v>106</v>
      </c>
      <c r="B48" s="274"/>
      <c r="C48" s="274"/>
      <c r="D48" s="274"/>
      <c r="E48" s="274"/>
      <c r="F48" s="274"/>
      <c r="G48" s="274"/>
      <c r="H48" s="274"/>
      <c r="I48" s="274"/>
      <c r="J48" s="274"/>
      <c r="K48" s="138"/>
      <c r="L48" s="138"/>
      <c r="M48" s="138"/>
      <c r="N48" s="138"/>
      <c r="O48" s="138"/>
      <c r="P48" s="138"/>
      <c r="Q48" s="138"/>
      <c r="R48" s="138"/>
      <c r="S48" s="138"/>
      <c r="T48" s="138"/>
      <c r="U48" s="138"/>
      <c r="V48" s="138"/>
    </row>
    <row r="49" spans="1:22 16384:16384" ht="28.5" customHeight="1">
      <c r="A49" s="179" t="s">
        <v>94</v>
      </c>
      <c r="B49" s="163"/>
      <c r="C49" s="101" t="s">
        <v>43</v>
      </c>
      <c r="D49" s="101" t="s">
        <v>44</v>
      </c>
      <c r="E49" s="101" t="s">
        <v>45</v>
      </c>
      <c r="F49" s="101" t="s">
        <v>46</v>
      </c>
      <c r="G49" s="101" t="s">
        <v>47</v>
      </c>
      <c r="H49" s="101" t="s">
        <v>48</v>
      </c>
      <c r="I49" s="101" t="s">
        <v>49</v>
      </c>
      <c r="J49" s="101" t="s">
        <v>50</v>
      </c>
      <c r="K49" s="101" t="s">
        <v>51</v>
      </c>
      <c r="L49" s="101" t="s">
        <v>52</v>
      </c>
      <c r="M49" s="101" t="s">
        <v>53</v>
      </c>
      <c r="N49" s="101" t="s">
        <v>54</v>
      </c>
      <c r="O49" s="66"/>
      <c r="P49" s="66"/>
      <c r="Q49" s="66"/>
      <c r="R49" s="66"/>
      <c r="S49" s="66"/>
      <c r="T49" s="66"/>
      <c r="U49" s="66"/>
      <c r="V49" s="66"/>
    </row>
    <row r="50" spans="1:22 16384:16384" s="177" customFormat="1" ht="12.75" customHeight="1">
      <c r="A50" s="25" t="s">
        <v>55</v>
      </c>
      <c r="B50" s="26" t="s">
        <v>56</v>
      </c>
      <c r="C50" s="76">
        <f>C30-C9</f>
        <v>-247014.13999999966</v>
      </c>
      <c r="D50" s="76">
        <f t="shared" ref="D50:N50" si="2">D30-D9</f>
        <v>-2181579.9999999991</v>
      </c>
      <c r="E50" s="76">
        <f t="shared" si="2"/>
        <v>-1587941.5899999999</v>
      </c>
      <c r="F50" s="76">
        <f t="shared" si="2"/>
        <v>-3068220.5799999991</v>
      </c>
      <c r="G50" s="76">
        <f t="shared" si="2"/>
        <v>-641500.80999999959</v>
      </c>
      <c r="H50" s="76">
        <f t="shared" si="2"/>
        <v>301869.58000000007</v>
      </c>
      <c r="I50" s="76">
        <f t="shared" si="2"/>
        <v>-713466.13999999873</v>
      </c>
      <c r="J50" s="76">
        <f t="shared" si="2"/>
        <v>-165734.96999999881</v>
      </c>
      <c r="K50" s="76">
        <f t="shared" si="2"/>
        <v>5417.8000000007451</v>
      </c>
      <c r="L50" s="76">
        <f t="shared" si="2"/>
        <v>458893.13999999966</v>
      </c>
      <c r="M50" s="76">
        <f t="shared" si="2"/>
        <v>-242882.94999999925</v>
      </c>
      <c r="N50" s="76">
        <f t="shared" si="2"/>
        <v>600441.8900000006</v>
      </c>
      <c r="O50" s="178"/>
      <c r="P50" s="178"/>
      <c r="Q50" s="178"/>
      <c r="R50" s="178"/>
      <c r="S50" s="178"/>
      <c r="T50" s="178"/>
      <c r="U50" s="178"/>
      <c r="V50" s="178"/>
    </row>
    <row r="51" spans="1:22 16384:16384" s="177" customFormat="1" ht="12.75" customHeight="1">
      <c r="A51" s="76"/>
      <c r="B51" s="76" t="s">
        <v>81</v>
      </c>
      <c r="C51" s="76">
        <f t="shared" ref="C51:N51" si="3">C31-C10</f>
        <v>5500.9499999999971</v>
      </c>
      <c r="D51" s="76">
        <f t="shared" si="3"/>
        <v>-5789.0499999999993</v>
      </c>
      <c r="E51" s="76">
        <f t="shared" si="3"/>
        <v>11241.32</v>
      </c>
      <c r="F51" s="76">
        <f t="shared" si="3"/>
        <v>-3877</v>
      </c>
      <c r="G51" s="76">
        <f t="shared" si="3"/>
        <v>2233</v>
      </c>
      <c r="H51" s="76">
        <f t="shared" si="3"/>
        <v>1527</v>
      </c>
      <c r="I51" s="76">
        <f t="shared" si="3"/>
        <v>2471</v>
      </c>
      <c r="J51" s="76">
        <f t="shared" si="3"/>
        <v>5288</v>
      </c>
      <c r="K51" s="76">
        <f t="shared" si="3"/>
        <v>-2651</v>
      </c>
      <c r="L51" s="76">
        <f t="shared" si="3"/>
        <v>-2657</v>
      </c>
      <c r="M51" s="76">
        <f t="shared" si="3"/>
        <v>-1828</v>
      </c>
      <c r="N51" s="76">
        <f t="shared" si="3"/>
        <v>3589</v>
      </c>
      <c r="O51" s="178"/>
      <c r="P51" s="178"/>
      <c r="Q51" s="178"/>
      <c r="R51" s="178"/>
      <c r="S51" s="178"/>
      <c r="T51" s="178"/>
      <c r="U51" s="178"/>
      <c r="V51" s="178"/>
    </row>
    <row r="52" spans="1:22 16384:16384" s="177" customFormat="1" ht="12.75" customHeight="1">
      <c r="A52" s="76"/>
      <c r="B52" s="76" t="s">
        <v>82</v>
      </c>
      <c r="C52" s="76">
        <f t="shared" ref="C52:N52" si="4">C32-C11</f>
        <v>-10796.740000000002</v>
      </c>
      <c r="D52" s="76">
        <f t="shared" si="4"/>
        <v>1298.2200000000012</v>
      </c>
      <c r="E52" s="76">
        <f t="shared" si="4"/>
        <v>-8681</v>
      </c>
      <c r="F52" s="76">
        <f t="shared" si="4"/>
        <v>-4200</v>
      </c>
      <c r="G52" s="76">
        <f t="shared" si="4"/>
        <v>-1348</v>
      </c>
      <c r="H52" s="76">
        <f t="shared" si="4"/>
        <v>1034</v>
      </c>
      <c r="I52" s="76">
        <f t="shared" si="4"/>
        <v>-482</v>
      </c>
      <c r="J52" s="76">
        <f t="shared" si="4"/>
        <v>-1346</v>
      </c>
      <c r="K52" s="76">
        <f t="shared" si="4"/>
        <v>-8062</v>
      </c>
      <c r="L52" s="76">
        <f t="shared" si="4"/>
        <v>933</v>
      </c>
      <c r="M52" s="76">
        <f t="shared" si="4"/>
        <v>-2868</v>
      </c>
      <c r="N52" s="76">
        <f t="shared" si="4"/>
        <v>-241</v>
      </c>
      <c r="O52" s="178"/>
      <c r="P52" s="178"/>
      <c r="Q52" s="178"/>
      <c r="R52" s="178"/>
      <c r="S52" s="178"/>
      <c r="T52" s="178"/>
      <c r="U52" s="178"/>
      <c r="V52" s="178"/>
    </row>
    <row r="53" spans="1:22 16384:16384" s="177" customFormat="1" ht="12.75" customHeight="1">
      <c r="A53" s="76"/>
      <c r="B53" s="76" t="s">
        <v>100</v>
      </c>
      <c r="C53" s="76">
        <f t="shared" ref="C53:N53" si="5">C33-C12</f>
        <v>484294.31999998959</v>
      </c>
      <c r="D53" s="76">
        <f t="shared" si="5"/>
        <v>1742006.2299999995</v>
      </c>
      <c r="E53" s="76">
        <f t="shared" si="5"/>
        <v>-1317018.28000001</v>
      </c>
      <c r="F53" s="76">
        <f t="shared" si="5"/>
        <v>-204828.77000000048</v>
      </c>
      <c r="G53" s="76">
        <f t="shared" si="5"/>
        <v>147574.7200000002</v>
      </c>
      <c r="H53" s="76">
        <f t="shared" si="5"/>
        <v>106582.04999999981</v>
      </c>
      <c r="I53" s="76">
        <f t="shared" si="5"/>
        <v>902983.93999999901</v>
      </c>
      <c r="J53" s="76">
        <f t="shared" si="5"/>
        <v>112724.19999999972</v>
      </c>
      <c r="K53" s="76">
        <f t="shared" si="5"/>
        <v>169741.73000000045</v>
      </c>
      <c r="L53" s="76">
        <f t="shared" si="5"/>
        <v>115729.20999999996</v>
      </c>
      <c r="M53" s="76">
        <f t="shared" si="5"/>
        <v>461531.6799999997</v>
      </c>
      <c r="N53" s="76">
        <f t="shared" si="5"/>
        <v>474629.10000000009</v>
      </c>
      <c r="O53" s="178"/>
      <c r="P53" s="178"/>
      <c r="Q53" s="178"/>
      <c r="R53" s="178"/>
      <c r="S53" s="178"/>
      <c r="T53" s="178"/>
      <c r="U53" s="178"/>
      <c r="V53" s="178"/>
    </row>
    <row r="54" spans="1:22 16384:16384" s="177" customFormat="1" ht="12.75" customHeight="1">
      <c r="A54" s="76" t="s">
        <v>69</v>
      </c>
      <c r="B54" s="76" t="s">
        <v>56</v>
      </c>
      <c r="C54" s="76">
        <f t="shared" ref="C54:N54" si="6">C34-C13</f>
        <v>-3354162.1799999978</v>
      </c>
      <c r="D54" s="76">
        <f t="shared" si="6"/>
        <v>-1927189.25</v>
      </c>
      <c r="E54" s="76">
        <f t="shared" si="6"/>
        <v>-3722608.3600000013</v>
      </c>
      <c r="F54" s="76">
        <f t="shared" si="6"/>
        <v>-4719315.7399999984</v>
      </c>
      <c r="G54" s="76">
        <f t="shared" si="6"/>
        <v>-2361219.4800000004</v>
      </c>
      <c r="H54" s="76">
        <f t="shared" si="6"/>
        <v>-5023689.24</v>
      </c>
      <c r="I54" s="76">
        <f t="shared" si="6"/>
        <v>-7848493.4399999976</v>
      </c>
      <c r="J54" s="76">
        <f t="shared" si="6"/>
        <v>-6766245.0199999996</v>
      </c>
      <c r="K54" s="76">
        <f t="shared" si="6"/>
        <v>-6562233.4500000011</v>
      </c>
      <c r="L54" s="76">
        <f t="shared" si="6"/>
        <v>404680.37999999896</v>
      </c>
      <c r="M54" s="76">
        <f t="shared" si="6"/>
        <v>-22096.370000001043</v>
      </c>
      <c r="N54" s="76">
        <f t="shared" si="6"/>
        <v>462790.40000000224</v>
      </c>
      <c r="O54" s="178"/>
      <c r="P54" s="178"/>
      <c r="Q54" s="178"/>
      <c r="R54" s="178"/>
      <c r="S54" s="178"/>
      <c r="T54" s="178"/>
      <c r="U54" s="178"/>
      <c r="V54" s="178"/>
      <c r="XFD54" s="76"/>
    </row>
    <row r="55" spans="1:22 16384:16384" s="177" customFormat="1" ht="12.75" customHeight="1">
      <c r="A55" s="76"/>
      <c r="B55" s="76" t="s">
        <v>81</v>
      </c>
      <c r="C55" s="76">
        <f t="shared" ref="C55:N55" si="7">C35-C14</f>
        <v>516692.01</v>
      </c>
      <c r="D55" s="76">
        <f t="shared" si="7"/>
        <v>697100.49</v>
      </c>
      <c r="E55" s="76">
        <f t="shared" si="7"/>
        <v>-163253.85</v>
      </c>
      <c r="F55" s="76">
        <f t="shared" si="7"/>
        <v>-166486.47</v>
      </c>
      <c r="G55" s="76">
        <f t="shared" si="7"/>
        <v>-22090.600000000006</v>
      </c>
      <c r="H55" s="76">
        <f t="shared" si="7"/>
        <v>259738.07999999996</v>
      </c>
      <c r="I55" s="76">
        <f t="shared" si="7"/>
        <v>-364886.34</v>
      </c>
      <c r="J55" s="76">
        <f t="shared" si="7"/>
        <v>-101180.10999999999</v>
      </c>
      <c r="K55" s="76">
        <f t="shared" si="7"/>
        <v>-367294.88</v>
      </c>
      <c r="L55" s="76">
        <f t="shared" si="7"/>
        <v>-71626.899999999994</v>
      </c>
      <c r="M55" s="76">
        <f t="shared" si="7"/>
        <v>30835.179999999993</v>
      </c>
      <c r="N55" s="76">
        <f t="shared" si="7"/>
        <v>8359.3399999999965</v>
      </c>
      <c r="O55" s="178"/>
      <c r="P55" s="178"/>
      <c r="Q55" s="178"/>
      <c r="R55" s="178"/>
      <c r="S55" s="178"/>
      <c r="T55" s="178"/>
      <c r="U55" s="178"/>
      <c r="V55" s="178"/>
    </row>
    <row r="56" spans="1:22 16384:16384" s="177" customFormat="1" ht="12.75" customHeight="1">
      <c r="A56" s="76"/>
      <c r="B56" s="76" t="s">
        <v>82</v>
      </c>
      <c r="C56" s="76">
        <f t="shared" ref="C56:N56" si="8">C36-C15</f>
        <v>-237131.50999999995</v>
      </c>
      <c r="D56" s="76">
        <f t="shared" si="8"/>
        <v>-250884.87999999998</v>
      </c>
      <c r="E56" s="76">
        <f t="shared" si="8"/>
        <v>-116974.10999999999</v>
      </c>
      <c r="F56" s="76">
        <f t="shared" si="8"/>
        <v>-267374.26</v>
      </c>
      <c r="G56" s="76">
        <f t="shared" si="8"/>
        <v>-241716.30999999997</v>
      </c>
      <c r="H56" s="76">
        <f t="shared" si="8"/>
        <v>-185930.96999999997</v>
      </c>
      <c r="I56" s="76">
        <f t="shared" si="8"/>
        <v>-143190.19999999995</v>
      </c>
      <c r="J56" s="76">
        <f t="shared" si="8"/>
        <v>-145449.97999999998</v>
      </c>
      <c r="K56" s="76">
        <f t="shared" si="8"/>
        <v>-190482.20999999996</v>
      </c>
      <c r="L56" s="76">
        <f t="shared" si="8"/>
        <v>-208947.74</v>
      </c>
      <c r="M56" s="76">
        <f t="shared" si="8"/>
        <v>-199519.03999999998</v>
      </c>
      <c r="N56" s="76">
        <f t="shared" si="8"/>
        <v>-55455.01999999996</v>
      </c>
      <c r="O56" s="178"/>
      <c r="P56" s="178"/>
      <c r="Q56" s="178"/>
      <c r="R56" s="178"/>
      <c r="S56" s="178"/>
      <c r="T56" s="178"/>
      <c r="U56" s="178"/>
      <c r="V56" s="178"/>
    </row>
    <row r="57" spans="1:22 16384:16384" s="177" customFormat="1" ht="12.75" customHeight="1">
      <c r="A57" s="76"/>
      <c r="B57" s="76" t="s">
        <v>100</v>
      </c>
      <c r="C57" s="76">
        <f t="shared" ref="C57:N57" si="9">C37-C16</f>
        <v>1266371.1799999997</v>
      </c>
      <c r="D57" s="76">
        <f t="shared" si="9"/>
        <v>3252774.24</v>
      </c>
      <c r="E57" s="76">
        <f t="shared" si="9"/>
        <v>-968612.53999999911</v>
      </c>
      <c r="F57" s="76">
        <f t="shared" si="9"/>
        <v>733262.30000000075</v>
      </c>
      <c r="G57" s="76">
        <f t="shared" si="9"/>
        <v>3569369.9899999984</v>
      </c>
      <c r="H57" s="76">
        <f t="shared" si="9"/>
        <v>-1404213.129999999</v>
      </c>
      <c r="I57" s="76">
        <f t="shared" si="9"/>
        <v>904344.08000000007</v>
      </c>
      <c r="J57" s="76">
        <f t="shared" si="9"/>
        <v>2582403.66</v>
      </c>
      <c r="K57" s="76">
        <f t="shared" si="9"/>
        <v>-215605.99000000209</v>
      </c>
      <c r="L57" s="76">
        <f t="shared" si="9"/>
        <v>900447.44000000134</v>
      </c>
      <c r="M57" s="76">
        <f t="shared" si="9"/>
        <v>2434837.6500000004</v>
      </c>
      <c r="N57" s="76">
        <f t="shared" si="9"/>
        <v>-5474135.0300000012</v>
      </c>
      <c r="O57" s="178"/>
      <c r="P57" s="178"/>
      <c r="Q57" s="178"/>
      <c r="R57" s="178"/>
      <c r="S57" s="178"/>
      <c r="T57" s="178"/>
      <c r="U57" s="178"/>
      <c r="V57" s="178"/>
    </row>
    <row r="58" spans="1:22 16384:16384" s="177" customFormat="1" ht="12.75" customHeight="1">
      <c r="A58" s="76" t="s">
        <v>84</v>
      </c>
      <c r="B58" s="76" t="s">
        <v>56</v>
      </c>
      <c r="C58" s="76">
        <f t="shared" ref="C58:N58" si="10">C38-C17</f>
        <v>2663273.4299999997</v>
      </c>
      <c r="D58" s="76">
        <f t="shared" si="10"/>
        <v>741234.66999999993</v>
      </c>
      <c r="E58" s="76">
        <f t="shared" si="10"/>
        <v>3883911.6400000006</v>
      </c>
      <c r="F58" s="76">
        <f t="shared" si="10"/>
        <v>3694902.59</v>
      </c>
      <c r="G58" s="76">
        <f t="shared" si="10"/>
        <v>4189536.4899999965</v>
      </c>
      <c r="H58" s="76">
        <f t="shared" si="10"/>
        <v>6552623.0999999978</v>
      </c>
      <c r="I58" s="76">
        <f t="shared" si="10"/>
        <v>2463992.6400000006</v>
      </c>
      <c r="J58" s="76">
        <f t="shared" si="10"/>
        <v>2648639.4199999981</v>
      </c>
      <c r="K58" s="76">
        <f t="shared" si="10"/>
        <v>3583772.7800000012</v>
      </c>
      <c r="L58" s="76">
        <f t="shared" si="10"/>
        <v>-356159.07999999821</v>
      </c>
      <c r="M58" s="76">
        <f t="shared" si="10"/>
        <v>1206730.1999999993</v>
      </c>
      <c r="N58" s="76">
        <f t="shared" si="10"/>
        <v>1232190.7599999979</v>
      </c>
      <c r="O58" s="178"/>
      <c r="P58" s="178"/>
      <c r="Q58" s="178"/>
      <c r="R58" s="178"/>
      <c r="S58" s="178"/>
      <c r="T58" s="178"/>
      <c r="U58" s="178"/>
      <c r="V58" s="178"/>
    </row>
    <row r="59" spans="1:22 16384:16384" s="177" customFormat="1" ht="12.75" customHeight="1">
      <c r="A59" s="76"/>
      <c r="B59" s="76" t="s">
        <v>81</v>
      </c>
      <c r="C59" s="76">
        <f t="shared" ref="C59:N59" si="11">C39-C18</f>
        <v>-24920.78</v>
      </c>
      <c r="D59" s="76">
        <f t="shared" si="11"/>
        <v>-75838.2</v>
      </c>
      <c r="E59" s="76">
        <f t="shared" si="11"/>
        <v>-106760.56</v>
      </c>
      <c r="F59" s="76">
        <f t="shared" si="11"/>
        <v>-74236.98000000001</v>
      </c>
      <c r="G59" s="76">
        <f t="shared" si="11"/>
        <v>-166061.97</v>
      </c>
      <c r="H59" s="76">
        <f t="shared" si="11"/>
        <v>-331497.40999999997</v>
      </c>
      <c r="I59" s="76">
        <f t="shared" si="11"/>
        <v>135416.04999999999</v>
      </c>
      <c r="J59" s="76">
        <f t="shared" si="11"/>
        <v>-63960.580000000016</v>
      </c>
      <c r="K59" s="76">
        <f t="shared" si="11"/>
        <v>-307066.11</v>
      </c>
      <c r="L59" s="76">
        <f t="shared" si="11"/>
        <v>78695.790000000008</v>
      </c>
      <c r="M59" s="76">
        <f t="shared" si="11"/>
        <v>118127.95000000001</v>
      </c>
      <c r="N59" s="76">
        <f t="shared" si="11"/>
        <v>-223183.91</v>
      </c>
      <c r="O59" s="178"/>
      <c r="P59" s="178"/>
      <c r="Q59" s="178"/>
      <c r="R59" s="178"/>
      <c r="S59" s="178"/>
      <c r="T59" s="178"/>
      <c r="U59" s="178"/>
      <c r="V59" s="178"/>
    </row>
    <row r="60" spans="1:22 16384:16384" s="177" customFormat="1" ht="12.75" customHeight="1">
      <c r="A60" s="76"/>
      <c r="B60" s="76" t="s">
        <v>82</v>
      </c>
      <c r="C60" s="76">
        <f t="shared" ref="C60:N60" si="12">C40-C19</f>
        <v>-3994.93</v>
      </c>
      <c r="D60" s="76">
        <f t="shared" si="12"/>
        <v>-956.88999999999942</v>
      </c>
      <c r="E60" s="76">
        <f t="shared" si="12"/>
        <v>2154.54</v>
      </c>
      <c r="F60" s="76">
        <f t="shared" si="12"/>
        <v>-9127.2699999999986</v>
      </c>
      <c r="G60" s="76">
        <f t="shared" si="12"/>
        <v>4464.75</v>
      </c>
      <c r="H60" s="76">
        <f t="shared" si="12"/>
        <v>3344.59</v>
      </c>
      <c r="I60" s="76">
        <f t="shared" si="12"/>
        <v>8135.24</v>
      </c>
      <c r="J60" s="76">
        <f t="shared" si="12"/>
        <v>-1272.6800000000003</v>
      </c>
      <c r="K60" s="76">
        <f t="shared" si="12"/>
        <v>7895.3600000000006</v>
      </c>
      <c r="L60" s="76">
        <f t="shared" si="12"/>
        <v>2223.1499999999996</v>
      </c>
      <c r="M60" s="76">
        <f t="shared" si="12"/>
        <v>3828.7800000000007</v>
      </c>
      <c r="N60" s="76">
        <f t="shared" si="12"/>
        <v>7569.0499999999993</v>
      </c>
      <c r="O60" s="178"/>
      <c r="P60" s="178"/>
      <c r="Q60" s="178"/>
      <c r="R60" s="178"/>
      <c r="S60" s="178"/>
      <c r="T60" s="178"/>
      <c r="U60" s="178"/>
      <c r="V60" s="178"/>
    </row>
    <row r="61" spans="1:22 16384:16384" s="177" customFormat="1" ht="12.75" customHeight="1">
      <c r="A61" s="76"/>
      <c r="B61" s="76" t="s">
        <v>100</v>
      </c>
      <c r="C61" s="76">
        <f t="shared" ref="C61:N61" si="13">C41-C20</f>
        <v>-150777.31999999937</v>
      </c>
      <c r="D61" s="76">
        <f t="shared" si="13"/>
        <v>-666693.53999999957</v>
      </c>
      <c r="E61" s="76">
        <f t="shared" si="13"/>
        <v>854153.58999999985</v>
      </c>
      <c r="F61" s="76">
        <f t="shared" si="13"/>
        <v>1687313.7399999998</v>
      </c>
      <c r="G61" s="76">
        <f t="shared" si="13"/>
        <v>-2340512.2100000004</v>
      </c>
      <c r="H61" s="76">
        <f t="shared" si="13"/>
        <v>919100.89000000036</v>
      </c>
      <c r="I61" s="76">
        <f t="shared" si="13"/>
        <v>-313797.5</v>
      </c>
      <c r="J61" s="76">
        <f t="shared" si="13"/>
        <v>-184317.14000000013</v>
      </c>
      <c r="K61" s="76">
        <f t="shared" si="13"/>
        <v>1386988.6800000002</v>
      </c>
      <c r="L61" s="76">
        <f t="shared" si="13"/>
        <v>-2488559.9199999995</v>
      </c>
      <c r="M61" s="76">
        <f t="shared" si="13"/>
        <v>-1880024.9600000009</v>
      </c>
      <c r="N61" s="76">
        <f t="shared" si="13"/>
        <v>217145.57000000123</v>
      </c>
      <c r="O61" s="178"/>
      <c r="P61" s="178"/>
      <c r="Q61" s="178"/>
      <c r="R61" s="178"/>
      <c r="S61" s="178"/>
      <c r="T61" s="178"/>
      <c r="U61" s="178"/>
      <c r="V61" s="178"/>
    </row>
    <row r="62" spans="1:22 16384:16384" s="177" customFormat="1" ht="12.75" customHeight="1">
      <c r="A62" s="76" t="s">
        <v>94</v>
      </c>
      <c r="B62" s="76" t="s">
        <v>56</v>
      </c>
      <c r="C62" s="76">
        <f t="shared" ref="C62:N62" si="14">C42-C21</f>
        <v>-937902.8900000006</v>
      </c>
      <c r="D62" s="76">
        <f t="shared" si="14"/>
        <v>-3367534.5799999982</v>
      </c>
      <c r="E62" s="76">
        <f t="shared" si="14"/>
        <v>-1426638.3099999949</v>
      </c>
      <c r="F62" s="76">
        <f t="shared" si="14"/>
        <v>-4092633.7300000042</v>
      </c>
      <c r="G62" s="76">
        <f t="shared" si="14"/>
        <v>1186816.1999999955</v>
      </c>
      <c r="H62" s="76">
        <f t="shared" si="14"/>
        <v>1830803.4400000051</v>
      </c>
      <c r="I62" s="76">
        <f t="shared" si="14"/>
        <v>-6097966.9399999976</v>
      </c>
      <c r="J62" s="76">
        <f t="shared" si="14"/>
        <v>-4283340.5699999928</v>
      </c>
      <c r="K62" s="76">
        <f t="shared" si="14"/>
        <v>-2973042.8700000048</v>
      </c>
      <c r="L62" s="76">
        <f t="shared" si="14"/>
        <v>507414.43999999762</v>
      </c>
      <c r="M62" s="76">
        <f t="shared" si="14"/>
        <v>941750.87999999523</v>
      </c>
      <c r="N62" s="76">
        <f t="shared" si="14"/>
        <v>2295423.049999997</v>
      </c>
      <c r="O62" s="178"/>
      <c r="P62" s="178"/>
      <c r="Q62" s="178"/>
      <c r="R62" s="178"/>
      <c r="S62" s="178"/>
      <c r="T62" s="178"/>
      <c r="U62" s="178"/>
      <c r="V62" s="178"/>
    </row>
    <row r="63" spans="1:22 16384:16384" s="177" customFormat="1" ht="12.75" customHeight="1">
      <c r="A63" s="76"/>
      <c r="B63" s="76" t="s">
        <v>81</v>
      </c>
      <c r="C63" s="76">
        <f t="shared" ref="C63:N63" si="15">C43-C22</f>
        <v>497272.17999999993</v>
      </c>
      <c r="D63" s="76">
        <f t="shared" si="15"/>
        <v>615473.24</v>
      </c>
      <c r="E63" s="76">
        <f t="shared" si="15"/>
        <v>-258773.09</v>
      </c>
      <c r="F63" s="76">
        <f t="shared" si="15"/>
        <v>-244600.45</v>
      </c>
      <c r="G63" s="76">
        <f t="shared" si="15"/>
        <v>-185919.57</v>
      </c>
      <c r="H63" s="76">
        <f t="shared" si="15"/>
        <v>-70232.330000000075</v>
      </c>
      <c r="I63" s="76">
        <f t="shared" si="15"/>
        <v>-226999.29000000004</v>
      </c>
      <c r="J63" s="76">
        <f t="shared" si="15"/>
        <v>-159852.68999999994</v>
      </c>
      <c r="K63" s="76">
        <f t="shared" si="15"/>
        <v>-677011.99</v>
      </c>
      <c r="L63" s="76">
        <f t="shared" si="15"/>
        <v>4411.890000000014</v>
      </c>
      <c r="M63" s="76">
        <f t="shared" si="15"/>
        <v>147135.13</v>
      </c>
      <c r="N63" s="76">
        <f t="shared" si="15"/>
        <v>-211235.57</v>
      </c>
      <c r="O63" s="178"/>
      <c r="P63" s="178"/>
      <c r="Q63" s="178"/>
      <c r="R63" s="178"/>
      <c r="S63" s="178"/>
      <c r="T63" s="178"/>
      <c r="U63" s="178"/>
      <c r="V63" s="178"/>
    </row>
    <row r="64" spans="1:22 16384:16384" ht="12.75" customHeight="1">
      <c r="A64" s="76"/>
      <c r="B64" s="76" t="s">
        <v>82</v>
      </c>
      <c r="C64" s="76">
        <f t="shared" ref="C64:N64" si="16">C44-C23</f>
        <v>-251923.17999999993</v>
      </c>
      <c r="D64" s="76">
        <f t="shared" si="16"/>
        <v>-250543.55</v>
      </c>
      <c r="E64" s="76">
        <f t="shared" si="16"/>
        <v>-123500.57</v>
      </c>
      <c r="F64" s="76">
        <f t="shared" si="16"/>
        <v>-280701.52999999997</v>
      </c>
      <c r="G64" s="76">
        <f t="shared" si="16"/>
        <v>-238599.56</v>
      </c>
      <c r="H64" s="76">
        <f t="shared" si="16"/>
        <v>-181552.37999999995</v>
      </c>
      <c r="I64" s="76">
        <f t="shared" si="16"/>
        <v>-135536.95999999996</v>
      </c>
      <c r="J64" s="76">
        <f t="shared" si="16"/>
        <v>-148068.65999999997</v>
      </c>
      <c r="K64" s="76">
        <f t="shared" si="16"/>
        <v>-190648.84999999998</v>
      </c>
      <c r="L64" s="76">
        <f t="shared" si="16"/>
        <v>-205791.58999999997</v>
      </c>
      <c r="M64" s="76">
        <f t="shared" si="16"/>
        <v>-198558.25999999995</v>
      </c>
      <c r="N64" s="76">
        <f t="shared" si="16"/>
        <v>-48126.969999999972</v>
      </c>
      <c r="O64" s="66"/>
      <c r="P64" s="66"/>
      <c r="Q64" s="66"/>
      <c r="R64" s="66"/>
      <c r="S64" s="66"/>
      <c r="T64" s="66"/>
      <c r="U64" s="66"/>
      <c r="V64" s="66"/>
    </row>
    <row r="65" spans="1:22" ht="12.75" customHeight="1">
      <c r="A65" s="178"/>
      <c r="B65" s="178" t="s">
        <v>100</v>
      </c>
      <c r="C65" s="76">
        <f t="shared" ref="C65:N65" si="17">C45-C24</f>
        <v>1599888.1799999923</v>
      </c>
      <c r="D65" s="76">
        <f t="shared" si="17"/>
        <v>4328086.93</v>
      </c>
      <c r="E65" s="76">
        <f t="shared" si="17"/>
        <v>-1431477.2300000116</v>
      </c>
      <c r="F65" s="76">
        <f t="shared" si="17"/>
        <v>2215747.2700000033</v>
      </c>
      <c r="G65" s="76">
        <f t="shared" si="17"/>
        <v>1376432.4999999963</v>
      </c>
      <c r="H65" s="76">
        <f t="shared" si="17"/>
        <v>-378530.18999999575</v>
      </c>
      <c r="I65" s="76">
        <f t="shared" si="17"/>
        <v>1493530.5199999996</v>
      </c>
      <c r="J65" s="76">
        <f t="shared" si="17"/>
        <v>2510810.7199999988</v>
      </c>
      <c r="K65" s="76">
        <f t="shared" si="17"/>
        <v>1341124.42</v>
      </c>
      <c r="L65" s="76">
        <f t="shared" si="17"/>
        <v>-1472383.2699999996</v>
      </c>
      <c r="M65" s="76">
        <f t="shared" si="17"/>
        <v>1016344.370000001</v>
      </c>
      <c r="N65" s="76">
        <f t="shared" si="17"/>
        <v>-4782360.3599999957</v>
      </c>
      <c r="O65" s="66"/>
      <c r="P65" s="66"/>
      <c r="Q65" s="66"/>
      <c r="R65" s="66"/>
      <c r="S65" s="66"/>
      <c r="T65" s="66"/>
      <c r="U65" s="66"/>
      <c r="V65" s="66"/>
    </row>
    <row r="66" spans="1:22" ht="189.6" customHeight="1">
      <c r="A66" s="277" t="s">
        <v>107</v>
      </c>
      <c r="B66" s="278"/>
      <c r="C66" s="278"/>
      <c r="D66" s="278"/>
      <c r="E66" s="278"/>
      <c r="F66" s="278"/>
      <c r="G66" s="278"/>
      <c r="H66" s="278"/>
      <c r="I66" s="278"/>
      <c r="J66" s="278"/>
      <c r="K66" s="34"/>
      <c r="L66" s="34"/>
      <c r="M66" s="34"/>
      <c r="N66" s="34"/>
      <c r="O66" s="66"/>
      <c r="P66" s="66"/>
      <c r="Q66" s="66"/>
      <c r="R66" s="66"/>
      <c r="S66" s="66"/>
      <c r="T66" s="66"/>
      <c r="U66" s="66"/>
      <c r="V66" s="66"/>
    </row>
    <row r="67" spans="1:22" ht="24.6" customHeight="1">
      <c r="A67" s="273" t="s">
        <v>108</v>
      </c>
      <c r="B67" s="274"/>
      <c r="C67" s="274"/>
      <c r="D67" s="274"/>
      <c r="E67" s="274"/>
      <c r="F67" s="274"/>
      <c r="G67" s="274"/>
      <c r="H67" s="274"/>
      <c r="I67" s="274"/>
      <c r="J67" s="274"/>
      <c r="K67" s="34"/>
      <c r="L67" s="34"/>
      <c r="M67" s="34"/>
      <c r="N67" s="34"/>
      <c r="O67" s="66"/>
      <c r="P67" s="66"/>
      <c r="Q67" s="66"/>
      <c r="R67" s="66"/>
      <c r="S67" s="66"/>
      <c r="T67" s="66"/>
      <c r="U67" s="66"/>
      <c r="V67" s="66"/>
    </row>
    <row r="68" spans="1:22" ht="24.6" customHeight="1">
      <c r="A68" s="273" t="s">
        <v>109</v>
      </c>
      <c r="B68" s="274"/>
      <c r="C68" s="274"/>
      <c r="D68" s="274"/>
      <c r="E68" s="274"/>
      <c r="F68" s="274"/>
      <c r="G68" s="274"/>
      <c r="H68" s="274"/>
      <c r="I68" s="274"/>
      <c r="J68" s="274"/>
      <c r="K68" s="34"/>
      <c r="L68" s="34"/>
      <c r="M68" s="34"/>
      <c r="N68" s="34"/>
      <c r="O68" s="66"/>
      <c r="P68" s="66"/>
      <c r="Q68" s="66"/>
      <c r="R68" s="66"/>
      <c r="S68" s="66"/>
      <c r="T68" s="66"/>
      <c r="U68" s="66"/>
      <c r="V68" s="66"/>
    </row>
    <row r="69" spans="1:22" ht="27.95" customHeight="1">
      <c r="A69" s="273"/>
      <c r="B69" s="274"/>
      <c r="C69" s="274"/>
      <c r="D69" s="274"/>
      <c r="E69" s="274"/>
      <c r="F69" s="274"/>
      <c r="G69" s="274"/>
      <c r="H69" s="274"/>
      <c r="I69" s="274"/>
      <c r="J69" s="274"/>
      <c r="K69" s="34"/>
      <c r="L69" s="34"/>
      <c r="M69" s="34"/>
      <c r="N69" s="34"/>
      <c r="O69" s="66"/>
      <c r="P69" s="66"/>
      <c r="Q69" s="66"/>
      <c r="R69" s="66"/>
      <c r="S69" s="66"/>
      <c r="T69" s="66"/>
      <c r="U69" s="66"/>
      <c r="V69" s="66"/>
    </row>
    <row r="70" spans="1:22" ht="28.5" customHeight="1">
      <c r="A70" s="179" t="s">
        <v>94</v>
      </c>
      <c r="B70" s="163"/>
      <c r="C70" s="101" t="s">
        <v>43</v>
      </c>
      <c r="D70" s="101" t="s">
        <v>44</v>
      </c>
      <c r="E70" s="101" t="s">
        <v>45</v>
      </c>
      <c r="F70" s="101" t="s">
        <v>46</v>
      </c>
      <c r="G70" s="101" t="s">
        <v>47</v>
      </c>
      <c r="H70" s="101" t="s">
        <v>48</v>
      </c>
      <c r="I70" s="101" t="s">
        <v>49</v>
      </c>
      <c r="J70" s="101" t="s">
        <v>50</v>
      </c>
      <c r="K70" s="101" t="s">
        <v>51</v>
      </c>
      <c r="L70" s="101" t="s">
        <v>52</v>
      </c>
      <c r="M70" s="101" t="s">
        <v>53</v>
      </c>
      <c r="N70" s="101" t="s">
        <v>54</v>
      </c>
      <c r="O70" s="66"/>
      <c r="P70" s="66"/>
      <c r="Q70" s="66"/>
      <c r="R70" s="66"/>
      <c r="S70" s="66"/>
      <c r="T70" s="66"/>
      <c r="U70" s="66"/>
      <c r="V70" s="66"/>
    </row>
    <row r="71" spans="1:22" s="177" customFormat="1" ht="12.75" customHeight="1">
      <c r="A71" s="110" t="s">
        <v>55</v>
      </c>
      <c r="B71" s="109" t="s">
        <v>56</v>
      </c>
      <c r="C71" s="76">
        <f>(C50/C9)*100</f>
        <v>3.0074618405681801</v>
      </c>
      <c r="D71" s="76">
        <f t="shared" ref="D71:N71" si="18">(D50/D9)*100</f>
        <v>36.552911553391155</v>
      </c>
      <c r="E71" s="76">
        <f t="shared" si="18"/>
        <v>26.716113540054447</v>
      </c>
      <c r="F71" s="76">
        <f t="shared" si="18"/>
        <v>69.644419502074413</v>
      </c>
      <c r="G71" s="76">
        <f t="shared" si="18"/>
        <v>8.8474862088448436</v>
      </c>
      <c r="H71" s="76">
        <f t="shared" si="18"/>
        <v>-3.7727957049855037</v>
      </c>
      <c r="I71" s="76">
        <f t="shared" si="18"/>
        <v>6.8178415983859155</v>
      </c>
      <c r="J71" s="76">
        <f t="shared" si="18"/>
        <v>1.7035387284873107</v>
      </c>
      <c r="K71" s="76">
        <f t="shared" si="18"/>
        <v>-5.1897249618487198E-2</v>
      </c>
      <c r="L71" s="76">
        <f t="shared" si="18"/>
        <v>-5.6695497126516408</v>
      </c>
      <c r="M71" s="76">
        <f t="shared" si="18"/>
        <v>3.2523824138271671</v>
      </c>
      <c r="N71" s="76">
        <f t="shared" si="18"/>
        <v>-7.4906983812087189</v>
      </c>
      <c r="O71" s="178"/>
      <c r="P71" s="178"/>
      <c r="Q71" s="178"/>
      <c r="R71" s="178"/>
      <c r="S71" s="178"/>
      <c r="T71" s="178"/>
      <c r="U71" s="178"/>
      <c r="V71" s="178"/>
    </row>
    <row r="72" spans="1:22" s="177" customFormat="1" ht="12.75" customHeight="1">
      <c r="A72" s="110"/>
      <c r="B72" s="109" t="s">
        <v>81</v>
      </c>
      <c r="C72" s="76">
        <f t="shared" ref="C72:C86" si="19">(C51/C10)*100</f>
        <v>18.33649999999999</v>
      </c>
      <c r="D72" s="76">
        <f t="shared" ref="D72:N72" si="20">(D51/D10)*100</f>
        <v>-19.296833333333328</v>
      </c>
      <c r="E72" s="76">
        <f t="shared" si="20"/>
        <v>37.471066666666665</v>
      </c>
      <c r="F72" s="76">
        <f t="shared" si="20"/>
        <v>-12.923333333333334</v>
      </c>
      <c r="G72" s="76">
        <f t="shared" si="20"/>
        <v>7.4433333333333334</v>
      </c>
      <c r="H72" s="76">
        <f t="shared" si="20"/>
        <v>5.09</v>
      </c>
      <c r="I72" s="76">
        <f t="shared" si="20"/>
        <v>8.2366666666666664</v>
      </c>
      <c r="J72" s="76">
        <f t="shared" si="20"/>
        <v>17.626666666666665</v>
      </c>
      <c r="K72" s="76">
        <f t="shared" si="20"/>
        <v>-8.836666666666666</v>
      </c>
      <c r="L72" s="76">
        <f t="shared" si="20"/>
        <v>-8.8566666666666674</v>
      </c>
      <c r="M72" s="76">
        <f t="shared" si="20"/>
        <v>-6.0933333333333328</v>
      </c>
      <c r="N72" s="76">
        <f t="shared" si="20"/>
        <v>11.963333333333333</v>
      </c>
      <c r="O72" s="178"/>
      <c r="P72" s="178"/>
      <c r="Q72" s="178"/>
      <c r="R72" s="178"/>
      <c r="S72" s="178"/>
      <c r="T72" s="178"/>
      <c r="U72" s="178"/>
      <c r="V72" s="178"/>
    </row>
    <row r="73" spans="1:22" s="177" customFormat="1" ht="12.75" customHeight="1">
      <c r="A73" s="110"/>
      <c r="B73" s="109" t="s">
        <v>82</v>
      </c>
      <c r="C73" s="76">
        <f t="shared" si="19"/>
        <v>-35.989133333333342</v>
      </c>
      <c r="D73" s="76">
        <f t="shared" ref="D73:N73" si="21">(D52/D11)*100</f>
        <v>4.3274000000000044</v>
      </c>
      <c r="E73" s="76">
        <f t="shared" si="21"/>
        <v>-29.010411131763608</v>
      </c>
      <c r="F73" s="76">
        <f t="shared" si="21"/>
        <v>-14.000000000000002</v>
      </c>
      <c r="G73" s="76">
        <f t="shared" si="21"/>
        <v>-4.4933333333333332</v>
      </c>
      <c r="H73" s="76">
        <f t="shared" si="21"/>
        <v>3.4466666666666668</v>
      </c>
      <c r="I73" s="76">
        <f t="shared" si="21"/>
        <v>-1.6066666666666667</v>
      </c>
      <c r="J73" s="76">
        <f t="shared" si="21"/>
        <v>-4.4866666666666664</v>
      </c>
      <c r="K73" s="76">
        <f t="shared" si="21"/>
        <v>-26.873333333333331</v>
      </c>
      <c r="L73" s="76">
        <f t="shared" si="21"/>
        <v>3.11</v>
      </c>
      <c r="M73" s="76">
        <f t="shared" si="21"/>
        <v>-9.56</v>
      </c>
      <c r="N73" s="76">
        <f t="shared" si="21"/>
        <v>-0.80333333333333334</v>
      </c>
      <c r="O73" s="178"/>
      <c r="P73" s="178"/>
      <c r="Q73" s="178"/>
      <c r="R73" s="178"/>
      <c r="S73" s="178"/>
      <c r="T73" s="178"/>
      <c r="U73" s="178"/>
      <c r="V73" s="178"/>
    </row>
    <row r="74" spans="1:22" s="177" customFormat="1" ht="12.75" customHeight="1">
      <c r="A74" s="110"/>
      <c r="B74" s="109" t="s">
        <v>100</v>
      </c>
      <c r="C74" s="76">
        <f t="shared" si="19"/>
        <v>16.868802138092963</v>
      </c>
      <c r="D74" s="76">
        <f t="shared" ref="D74:N74" si="22">(D53/D12)*100</f>
        <v>60.194449976839017</v>
      </c>
      <c r="E74" s="76">
        <f t="shared" si="22"/>
        <v>-26.624969214675087</v>
      </c>
      <c r="F74" s="76">
        <f t="shared" si="22"/>
        <v>-5.6119742468043246</v>
      </c>
      <c r="G74" s="76">
        <f t="shared" si="22"/>
        <v>4.3528367592005726</v>
      </c>
      <c r="H74" s="76">
        <f t="shared" si="22"/>
        <v>3.2335459161287115</v>
      </c>
      <c r="I74" s="76">
        <f t="shared" si="22"/>
        <v>26.781433109998282</v>
      </c>
      <c r="J74" s="76">
        <f t="shared" si="22"/>
        <v>3.2335432107333446</v>
      </c>
      <c r="K74" s="76">
        <f t="shared" si="22"/>
        <v>4.9619398043792113</v>
      </c>
      <c r="L74" s="76">
        <f t="shared" si="22"/>
        <v>3.3229867039540486</v>
      </c>
      <c r="M74" s="76">
        <f t="shared" si="22"/>
        <v>13.737791108331374</v>
      </c>
      <c r="N74" s="76">
        <f t="shared" si="22"/>
        <v>12.227298718935632</v>
      </c>
      <c r="O74" s="178"/>
      <c r="P74" s="178"/>
      <c r="Q74" s="178"/>
      <c r="R74" s="178"/>
      <c r="S74" s="178"/>
      <c r="T74" s="178"/>
      <c r="U74" s="178"/>
      <c r="V74" s="178"/>
    </row>
    <row r="75" spans="1:22" s="177" customFormat="1" ht="12.75" customHeight="1">
      <c r="A75" s="110" t="s">
        <v>69</v>
      </c>
      <c r="B75" s="109" t="s">
        <v>56</v>
      </c>
      <c r="C75" s="76">
        <f t="shared" si="19"/>
        <v>20.279277420508919</v>
      </c>
      <c r="D75" s="76">
        <f t="shared" ref="D75:N75" si="23">(D54/D13)*100</f>
        <v>12.902881430082585</v>
      </c>
      <c r="E75" s="76">
        <f t="shared" si="23"/>
        <v>24.964129300473797</v>
      </c>
      <c r="F75" s="76">
        <f t="shared" si="23"/>
        <v>36.833712515157131</v>
      </c>
      <c r="G75" s="76">
        <f t="shared" si="23"/>
        <v>17.20346639381567</v>
      </c>
      <c r="H75" s="76">
        <f t="shared" si="23"/>
        <v>38.735878764361701</v>
      </c>
      <c r="I75" s="76">
        <f t="shared" si="23"/>
        <v>44.362706611254495</v>
      </c>
      <c r="J75" s="76">
        <f t="shared" si="23"/>
        <v>39.96800633830167</v>
      </c>
      <c r="K75" s="76">
        <f t="shared" si="23"/>
        <v>41.079600747052986</v>
      </c>
      <c r="L75" s="76">
        <f t="shared" si="23"/>
        <v>-2.1254236496527663</v>
      </c>
      <c r="M75" s="76">
        <f t="shared" si="23"/>
        <v>0.12935057840134156</v>
      </c>
      <c r="N75" s="76">
        <f t="shared" si="23"/>
        <v>-2.442758941586451</v>
      </c>
      <c r="O75" s="178"/>
      <c r="P75" s="178"/>
      <c r="Q75" s="178"/>
      <c r="R75" s="178"/>
      <c r="S75" s="178"/>
      <c r="T75" s="178"/>
      <c r="U75" s="178"/>
      <c r="V75" s="178"/>
    </row>
    <row r="76" spans="1:22" s="177" customFormat="1" ht="12.75" customHeight="1">
      <c r="A76" s="110"/>
      <c r="B76" s="109" t="s">
        <v>81</v>
      </c>
      <c r="C76" s="76">
        <f t="shared" si="19"/>
        <v>303.97044963848901</v>
      </c>
      <c r="D76" s="76">
        <f t="shared" ref="D76:N76" si="24">(D55/D14)*100</f>
        <v>410.10494702349087</v>
      </c>
      <c r="E76" s="76">
        <f t="shared" si="24"/>
        <v>-96.04241062236369</v>
      </c>
      <c r="F76" s="76">
        <f t="shared" si="24"/>
        <v>-99.759401514788365</v>
      </c>
      <c r="G76" s="76">
        <f t="shared" si="24"/>
        <v>-13.236781554096163</v>
      </c>
      <c r="H76" s="76">
        <f t="shared" si="24"/>
        <v>66.145478344797368</v>
      </c>
      <c r="I76" s="76">
        <f t="shared" si="24"/>
        <v>-92.922768585886118</v>
      </c>
      <c r="J76" s="76">
        <f t="shared" si="24"/>
        <v>-16.623748044846938</v>
      </c>
      <c r="K76" s="76">
        <f t="shared" si="24"/>
        <v>-60.346025946031205</v>
      </c>
      <c r="L76" s="76">
        <f t="shared" si="24"/>
        <v>-42.919143377594551</v>
      </c>
      <c r="M76" s="76">
        <f t="shared" si="24"/>
        <v>18.476571113561185</v>
      </c>
      <c r="N76" s="76">
        <f t="shared" si="24"/>
        <v>5.0089521115957982</v>
      </c>
      <c r="O76" s="178"/>
      <c r="P76" s="178"/>
      <c r="Q76" s="178"/>
      <c r="R76" s="178"/>
      <c r="S76" s="178"/>
      <c r="T76" s="178"/>
      <c r="U76" s="178"/>
      <c r="V76" s="178"/>
    </row>
    <row r="77" spans="1:22" s="177" customFormat="1" ht="12.75" customHeight="1">
      <c r="A77" s="110"/>
      <c r="B77" s="109" t="s">
        <v>82</v>
      </c>
      <c r="C77" s="76">
        <f t="shared" si="19"/>
        <v>-49.499071666091851</v>
      </c>
      <c r="D77" s="76">
        <f t="shared" ref="D77:N77" si="25">(D56/D15)*100</f>
        <v>-52.369964055215</v>
      </c>
      <c r="E77" s="76">
        <f t="shared" si="25"/>
        <v>-24.417294243043923</v>
      </c>
      <c r="F77" s="76">
        <f t="shared" si="25"/>
        <v>-55.811973943944778</v>
      </c>
      <c r="G77" s="76">
        <f t="shared" si="25"/>
        <v>-50.456107463547454</v>
      </c>
      <c r="H77" s="76">
        <f t="shared" si="25"/>
        <v>-38.811419068583405</v>
      </c>
      <c r="I77" s="76">
        <f t="shared" si="25"/>
        <v>-29.889667432565268</v>
      </c>
      <c r="J77" s="76">
        <f t="shared" si="25"/>
        <v>-30.361376199441516</v>
      </c>
      <c r="K77" s="76">
        <f t="shared" si="25"/>
        <v>-39.761449517635</v>
      </c>
      <c r="L77" s="76">
        <f t="shared" si="25"/>
        <v>-43.615962959658674</v>
      </c>
      <c r="M77" s="76">
        <f t="shared" si="25"/>
        <v>-41.647806568219671</v>
      </c>
      <c r="N77" s="76">
        <f t="shared" si="25"/>
        <v>-11.575737063474001</v>
      </c>
      <c r="O77" s="178"/>
      <c r="P77" s="178"/>
      <c r="Q77" s="178"/>
      <c r="R77" s="178"/>
      <c r="S77" s="178"/>
      <c r="T77" s="178"/>
      <c r="U77" s="178"/>
      <c r="V77" s="178"/>
    </row>
    <row r="78" spans="1:22" s="177" customFormat="1" ht="12.75" customHeight="1">
      <c r="A78" s="110"/>
      <c r="B78" s="109" t="s">
        <v>100</v>
      </c>
      <c r="C78" s="76">
        <f t="shared" si="19"/>
        <v>12.469139911802751</v>
      </c>
      <c r="D78" s="76">
        <f t="shared" ref="D78:N78" si="26">(D57/D16)*100</f>
        <v>30.955418385777566</v>
      </c>
      <c r="E78" s="76">
        <f t="shared" si="26"/>
        <v>-6.5110448241343724</v>
      </c>
      <c r="F78" s="76">
        <f t="shared" si="26"/>
        <v>4.093250567053488</v>
      </c>
      <c r="G78" s="76">
        <f t="shared" si="26"/>
        <v>21.499212917340703</v>
      </c>
      <c r="H78" s="76">
        <f t="shared" si="26"/>
        <v>-11.984829890633227</v>
      </c>
      <c r="I78" s="76">
        <f t="shared" si="26"/>
        <v>10.349954172240789</v>
      </c>
      <c r="J78" s="76">
        <f t="shared" si="26"/>
        <v>29.446369997212763</v>
      </c>
      <c r="K78" s="76">
        <f t="shared" si="26"/>
        <v>-2.0407675514472605</v>
      </c>
      <c r="L78" s="76">
        <f t="shared" si="26"/>
        <v>8.8086841905057991</v>
      </c>
      <c r="M78" s="76">
        <f t="shared" si="26"/>
        <v>22.952262553722775</v>
      </c>
      <c r="N78" s="76">
        <f t="shared" si="26"/>
        <v>-44.761696312129928</v>
      </c>
      <c r="O78" s="178"/>
      <c r="P78" s="178"/>
      <c r="Q78" s="178"/>
      <c r="R78" s="178"/>
      <c r="S78" s="178"/>
      <c r="T78" s="178"/>
      <c r="U78" s="178"/>
      <c r="V78" s="178"/>
    </row>
    <row r="79" spans="1:22" s="177" customFormat="1" ht="12.75" customHeight="1">
      <c r="A79" s="110" t="s">
        <v>84</v>
      </c>
      <c r="B79" s="109" t="s">
        <v>56</v>
      </c>
      <c r="C79" s="76">
        <f>(C58/C17)*100</f>
        <v>-15.230491695730167</v>
      </c>
      <c r="D79" s="76">
        <f t="shared" ref="D79:N79" si="27">(D58/D17)*100</f>
        <v>-4.3396078254789634</v>
      </c>
      <c r="E79" s="76">
        <f t="shared" si="27"/>
        <v>-20.682125081445442</v>
      </c>
      <c r="F79" s="76">
        <f t="shared" si="27"/>
        <v>-22.538516280698538</v>
      </c>
      <c r="G79" s="76">
        <f t="shared" si="27"/>
        <v>-23.02180435638904</v>
      </c>
      <c r="H79" s="76">
        <f t="shared" si="27"/>
        <v>-34.956566760287537</v>
      </c>
      <c r="I79" s="76">
        <f t="shared" si="27"/>
        <v>-12.055364265284853</v>
      </c>
      <c r="J79" s="76">
        <f t="shared" si="27"/>
        <v>-13.311802174803683</v>
      </c>
      <c r="K79" s="76">
        <f t="shared" si="27"/>
        <v>-17.278239078905639</v>
      </c>
      <c r="L79" s="76">
        <f t="shared" si="27"/>
        <v>2.0797415057752922</v>
      </c>
      <c r="M79" s="76">
        <f t="shared" si="27"/>
        <v>-6.4973653883095936</v>
      </c>
      <c r="N79" s="76">
        <f t="shared" si="27"/>
        <v>-6.4040110127903667</v>
      </c>
      <c r="O79" s="178"/>
      <c r="P79" s="178"/>
      <c r="Q79" s="178"/>
      <c r="R79" s="178"/>
      <c r="S79" s="178"/>
      <c r="T79" s="178"/>
      <c r="U79" s="178"/>
      <c r="V79" s="178"/>
    </row>
    <row r="80" spans="1:22" s="177" customFormat="1" ht="12.75" customHeight="1">
      <c r="A80" s="110"/>
      <c r="B80" s="109" t="s">
        <v>81</v>
      </c>
      <c r="C80" s="76">
        <f t="shared" si="19"/>
        <v>-16.513232702068727</v>
      </c>
      <c r="D80" s="76">
        <f t="shared" ref="D80:N80" si="28">(D59/D18)*100</f>
        <v>-50.252594192719037</v>
      </c>
      <c r="E80" s="76">
        <f t="shared" si="28"/>
        <v>-70.742648130723467</v>
      </c>
      <c r="F80" s="76">
        <f t="shared" si="28"/>
        <v>-50.993240922641547</v>
      </c>
      <c r="G80" s="76">
        <f t="shared" si="28"/>
        <v>-114.06765259441414</v>
      </c>
      <c r="H80" s="76">
        <f t="shared" si="28"/>
        <v>-97.176270043678358</v>
      </c>
      <c r="I80" s="76">
        <f t="shared" si="28"/>
        <v>39.696318119192092</v>
      </c>
      <c r="J80" s="76">
        <f t="shared" si="28"/>
        <v>-12.109617933280324</v>
      </c>
      <c r="K80" s="76">
        <f t="shared" si="28"/>
        <v>-58.13664091786891</v>
      </c>
      <c r="L80" s="76">
        <f t="shared" si="28"/>
        <v>54.055989064582164</v>
      </c>
      <c r="M80" s="76">
        <f t="shared" si="28"/>
        <v>81.141865065736155</v>
      </c>
      <c r="N80" s="76">
        <f t="shared" si="28"/>
        <v>-153.30460496489951</v>
      </c>
      <c r="O80" s="178"/>
      <c r="P80" s="178"/>
      <c r="Q80" s="178"/>
      <c r="R80" s="178"/>
      <c r="S80" s="178"/>
      <c r="T80" s="178"/>
      <c r="U80" s="178"/>
      <c r="V80" s="178"/>
    </row>
    <row r="81" spans="1:22" s="177" customFormat="1" ht="12.75" customHeight="1">
      <c r="A81" s="110"/>
      <c r="B81" s="109" t="s">
        <v>82</v>
      </c>
      <c r="C81" s="76">
        <f t="shared" si="19"/>
        <v>-82.369690721649476</v>
      </c>
      <c r="D81" s="76">
        <f t="shared" ref="D81:N81" si="29">(D60/D19)*100</f>
        <v>-9.9676041666666606</v>
      </c>
      <c r="E81" s="76">
        <f t="shared" si="29"/>
        <v>44.423505154639173</v>
      </c>
      <c r="F81" s="76">
        <f t="shared" si="29"/>
        <v>-188.19113402061853</v>
      </c>
      <c r="G81" s="76">
        <f t="shared" si="29"/>
        <v>92.05670103092784</v>
      </c>
      <c r="H81" s="76">
        <f t="shared" si="29"/>
        <v>68.960618556701036</v>
      </c>
      <c r="I81" s="76">
        <f t="shared" si="29"/>
        <v>167.73690721649484</v>
      </c>
      <c r="J81" s="76">
        <f t="shared" si="29"/>
        <v>-13.257083333333336</v>
      </c>
      <c r="K81" s="76">
        <f t="shared" si="29"/>
        <v>162.79092783505155</v>
      </c>
      <c r="L81" s="76">
        <f t="shared" si="29"/>
        <v>45.838144329896899</v>
      </c>
      <c r="M81" s="76">
        <f t="shared" si="29"/>
        <v>78.943917525773216</v>
      </c>
      <c r="N81" s="76">
        <f t="shared" si="29"/>
        <v>156.06288659793813</v>
      </c>
      <c r="O81" s="178"/>
      <c r="P81" s="178"/>
      <c r="Q81" s="178"/>
      <c r="R81" s="178"/>
      <c r="S81" s="178"/>
      <c r="T81" s="178"/>
      <c r="U81" s="178"/>
      <c r="V81" s="178"/>
    </row>
    <row r="82" spans="1:22" s="177" customFormat="1" ht="12.75" customHeight="1">
      <c r="A82" s="110"/>
      <c r="B82" s="109" t="s">
        <v>100</v>
      </c>
      <c r="C82" s="76">
        <f t="shared" si="19"/>
        <v>-2.8415068663789507</v>
      </c>
      <c r="D82" s="76">
        <f t="shared" ref="D82:N82" si="30">(D61/D20)*100</f>
        <v>-13.965348030800437</v>
      </c>
      <c r="E82" s="76">
        <f t="shared" si="30"/>
        <v>18.181860812685681</v>
      </c>
      <c r="F82" s="76">
        <f t="shared" si="30"/>
        <v>56.569770866634251</v>
      </c>
      <c r="G82" s="76">
        <f t="shared" si="30"/>
        <v>-37.081647134566118</v>
      </c>
      <c r="H82" s="76">
        <f t="shared" si="30"/>
        <v>45.376513017166616</v>
      </c>
      <c r="I82" s="76">
        <f t="shared" si="30"/>
        <v>-9.0755433831117642</v>
      </c>
      <c r="J82" s="76">
        <f t="shared" si="30"/>
        <v>-6.3910156736682389</v>
      </c>
      <c r="K82" s="76">
        <f t="shared" si="30"/>
        <v>57.586967857353585</v>
      </c>
      <c r="L82" s="76">
        <f t="shared" si="30"/>
        <v>-54.630607549206623</v>
      </c>
      <c r="M82" s="76">
        <f t="shared" si="30"/>
        <v>-41.330791247883234</v>
      </c>
      <c r="N82" s="76">
        <f t="shared" si="30"/>
        <v>4.7783564691264422</v>
      </c>
      <c r="O82" s="178"/>
      <c r="P82" s="178"/>
      <c r="Q82" s="178"/>
      <c r="R82" s="178"/>
      <c r="S82" s="178"/>
      <c r="T82" s="178"/>
      <c r="U82" s="178"/>
      <c r="V82" s="178"/>
    </row>
    <row r="83" spans="1:22" s="177" customFormat="1" ht="12.75" customHeight="1">
      <c r="A83" s="110" t="s">
        <v>94</v>
      </c>
      <c r="B83" s="109" t="s">
        <v>56</v>
      </c>
      <c r="C83" s="76">
        <f t="shared" si="19"/>
        <v>2.2204306720803344</v>
      </c>
      <c r="D83" s="76">
        <f t="shared" ref="D83:N83" si="31">(D62/D21)*100</f>
        <v>8.8654143341698255</v>
      </c>
      <c r="E83" s="76">
        <f t="shared" si="31"/>
        <v>3.5994712423364139</v>
      </c>
      <c r="F83" s="76">
        <f t="shared" si="31"/>
        <v>12.176193256561719</v>
      </c>
      <c r="G83" s="76">
        <f t="shared" si="31"/>
        <v>-3.0295991248033278</v>
      </c>
      <c r="H83" s="76">
        <f t="shared" si="31"/>
        <v>-4.6098138005635079</v>
      </c>
      <c r="I83" s="76">
        <f t="shared" si="31"/>
        <v>12.548467478575182</v>
      </c>
      <c r="J83" s="76">
        <f t="shared" si="31"/>
        <v>9.2006138572176592</v>
      </c>
      <c r="K83" s="76">
        <f t="shared" si="31"/>
        <v>6.3047708252159884</v>
      </c>
      <c r="L83" s="76">
        <f t="shared" si="31"/>
        <v>-1.1464623934096985</v>
      </c>
      <c r="M83" s="76">
        <f t="shared" si="31"/>
        <v>-2.1838714587859274</v>
      </c>
      <c r="N83" s="76">
        <f t="shared" si="31"/>
        <v>-4.9682166305244557</v>
      </c>
      <c r="O83" s="178"/>
      <c r="P83" s="178"/>
      <c r="Q83" s="178"/>
      <c r="R83" s="178"/>
      <c r="S83" s="178"/>
      <c r="T83" s="178"/>
      <c r="U83" s="178"/>
      <c r="V83" s="178"/>
    </row>
    <row r="84" spans="1:22" s="177" customFormat="1" ht="12.75" customHeight="1">
      <c r="A84" s="110"/>
      <c r="B84" s="109" t="s">
        <v>81</v>
      </c>
      <c r="C84" s="76">
        <f t="shared" si="19"/>
        <v>141.71537924450334</v>
      </c>
      <c r="D84" s="76">
        <f t="shared" ref="D84:N84" si="32">(D63/D22)*100</f>
        <v>175.40097180068111</v>
      </c>
      <c r="E84" s="76">
        <f t="shared" si="32"/>
        <v>-73.746588010658456</v>
      </c>
      <c r="F84" s="76">
        <f t="shared" si="32"/>
        <v>-71.422445761672563</v>
      </c>
      <c r="G84" s="76">
        <f t="shared" si="32"/>
        <v>-54.287841270768247</v>
      </c>
      <c r="H84" s="76">
        <f t="shared" si="32"/>
        <v>-9.1950361806058432</v>
      </c>
      <c r="I84" s="76">
        <f t="shared" si="32"/>
        <v>-29.719456616658402</v>
      </c>
      <c r="J84" s="76">
        <f t="shared" si="32"/>
        <v>-13.699764661115429</v>
      </c>
      <c r="K84" s="76">
        <f t="shared" si="32"/>
        <v>-58.021575587832999</v>
      </c>
      <c r="L84" s="76">
        <f t="shared" si="32"/>
        <v>1.2882559056267742</v>
      </c>
      <c r="M84" s="76">
        <f t="shared" si="32"/>
        <v>42.962925219727275</v>
      </c>
      <c r="N84" s="76">
        <f t="shared" si="32"/>
        <v>-61.680021607732058</v>
      </c>
      <c r="O84" s="178"/>
      <c r="P84" s="178"/>
      <c r="Q84" s="178"/>
      <c r="R84" s="178"/>
      <c r="S84" s="178"/>
      <c r="T84" s="178"/>
      <c r="U84" s="178"/>
      <c r="V84" s="178"/>
    </row>
    <row r="85" spans="1:22" ht="12.75" customHeight="1">
      <c r="A85" s="22"/>
      <c r="B85" s="31" t="s">
        <v>82</v>
      </c>
      <c r="C85" s="76">
        <f t="shared" si="19"/>
        <v>-49.020632966068497</v>
      </c>
      <c r="D85" s="76">
        <f t="shared" ref="D85:N85" si="33">(D64/D23)*100</f>
        <v>-48.305696031180503</v>
      </c>
      <c r="E85" s="76">
        <f t="shared" si="33"/>
        <v>-24.035003912141047</v>
      </c>
      <c r="F85" s="76">
        <f t="shared" si="33"/>
        <v>-54.620486590967396</v>
      </c>
      <c r="G85" s="76">
        <f t="shared" si="33"/>
        <v>-46.428047854212707</v>
      </c>
      <c r="H85" s="76">
        <f t="shared" si="33"/>
        <v>-35.327485879212048</v>
      </c>
      <c r="I85" s="76">
        <f t="shared" si="33"/>
        <v>-26.373545973406287</v>
      </c>
      <c r="J85" s="76">
        <f t="shared" si="33"/>
        <v>-28.548169297131036</v>
      </c>
      <c r="K85" s="76">
        <f t="shared" si="33"/>
        <v>-37.097528307053956</v>
      </c>
      <c r="L85" s="76">
        <f t="shared" si="33"/>
        <v>-40.044088046576945</v>
      </c>
      <c r="M85" s="76">
        <f t="shared" si="33"/>
        <v>-38.636585906232206</v>
      </c>
      <c r="N85" s="76">
        <f t="shared" si="33"/>
        <v>-9.3648172118936763</v>
      </c>
      <c r="O85" s="66"/>
      <c r="P85" s="66"/>
      <c r="Q85" s="66"/>
      <c r="R85" s="66"/>
      <c r="S85" s="66"/>
      <c r="T85" s="66"/>
      <c r="U85" s="66"/>
      <c r="V85" s="66"/>
    </row>
    <row r="86" spans="1:22" ht="12.75" customHeight="1">
      <c r="A86" s="39"/>
      <c r="B86" s="39" t="s">
        <v>100</v>
      </c>
      <c r="C86" s="76">
        <f t="shared" si="19"/>
        <v>8.7267097972989038</v>
      </c>
      <c r="D86" s="76">
        <f t="shared" ref="D86:N86" si="34">(D65/D24)*100</f>
        <v>23.812347638697513</v>
      </c>
      <c r="E86" s="76">
        <f t="shared" si="34"/>
        <v>-5.8377984440553226</v>
      </c>
      <c r="F86" s="76">
        <f t="shared" si="34"/>
        <v>9.026733557340016</v>
      </c>
      <c r="G86" s="76">
        <f t="shared" si="34"/>
        <v>5.232704108235116</v>
      </c>
      <c r="H86" s="76">
        <f t="shared" si="34"/>
        <v>-2.2216530613878192</v>
      </c>
      <c r="I86" s="76">
        <f t="shared" si="34"/>
        <v>9.5942347632364182</v>
      </c>
      <c r="J86" s="76">
        <f t="shared" si="34"/>
        <v>16.5840125357849</v>
      </c>
      <c r="K86" s="76">
        <f t="shared" si="34"/>
        <v>8.1804152429431447</v>
      </c>
      <c r="L86" s="76">
        <f t="shared" si="34"/>
        <v>-8.063344896170225</v>
      </c>
      <c r="M86" s="76">
        <f t="shared" si="34"/>
        <v>5.4888362856581061</v>
      </c>
      <c r="N86" s="76">
        <f t="shared" si="34"/>
        <v>-23.152872473478112</v>
      </c>
      <c r="O86" s="66"/>
      <c r="P86" s="66"/>
      <c r="Q86" s="66"/>
      <c r="R86" s="66"/>
      <c r="S86" s="66"/>
      <c r="T86" s="66"/>
      <c r="U86" s="66"/>
      <c r="V86" s="66"/>
    </row>
    <row r="87" spans="1:22" ht="12.75" customHeight="1">
      <c r="A87" s="66"/>
      <c r="B87" s="66"/>
      <c r="C87" s="66"/>
      <c r="D87" s="66"/>
      <c r="E87" s="66"/>
      <c r="F87" s="66"/>
      <c r="G87" s="66"/>
      <c r="H87" s="66"/>
      <c r="I87" s="66"/>
      <c r="J87" s="66"/>
      <c r="K87" s="66"/>
      <c r="L87" s="66"/>
      <c r="M87" s="66"/>
      <c r="N87" s="66"/>
      <c r="O87" s="66"/>
      <c r="P87" s="66"/>
      <c r="Q87" s="66"/>
      <c r="R87" s="66"/>
      <c r="S87" s="66"/>
      <c r="T87" s="66"/>
      <c r="U87" s="66"/>
      <c r="V87" s="66"/>
    </row>
    <row r="88" spans="1:22" ht="12.75" customHeight="1">
      <c r="A88" s="66"/>
      <c r="B88" s="66"/>
      <c r="C88" s="66"/>
      <c r="D88" s="66"/>
      <c r="E88" s="66"/>
      <c r="F88" s="66"/>
      <c r="G88" s="66"/>
      <c r="H88" s="66"/>
      <c r="I88" s="66"/>
      <c r="J88" s="66"/>
      <c r="K88" s="66"/>
      <c r="L88" s="66"/>
      <c r="M88" s="66"/>
      <c r="N88" s="66"/>
      <c r="O88" s="66"/>
      <c r="P88" s="66"/>
      <c r="Q88" s="66"/>
      <c r="R88" s="66"/>
      <c r="S88" s="66"/>
      <c r="T88" s="66"/>
      <c r="U88" s="66"/>
      <c r="V88" s="66"/>
    </row>
    <row r="89" spans="1:22" ht="12.75" customHeight="1">
      <c r="A89" s="66"/>
      <c r="B89" s="66"/>
      <c r="C89" s="66"/>
      <c r="D89" s="66"/>
      <c r="E89" s="66"/>
      <c r="F89" s="66"/>
      <c r="G89" s="66"/>
      <c r="H89" s="66"/>
      <c r="I89" s="66"/>
      <c r="J89" s="66"/>
      <c r="K89" s="66"/>
      <c r="L89" s="66"/>
      <c r="M89" s="66"/>
      <c r="N89" s="66"/>
      <c r="O89" s="66"/>
      <c r="P89" s="66"/>
      <c r="Q89" s="66"/>
      <c r="R89" s="66"/>
      <c r="S89" s="66"/>
      <c r="T89" s="66"/>
      <c r="U89" s="66"/>
      <c r="V89" s="66"/>
    </row>
    <row r="90" spans="1:22" ht="12.75" customHeight="1">
      <c r="A90" s="66"/>
      <c r="B90" s="66"/>
      <c r="C90" s="66"/>
      <c r="D90" s="66"/>
      <c r="E90" s="66"/>
      <c r="F90" s="66"/>
      <c r="G90" s="66"/>
      <c r="H90" s="66"/>
      <c r="I90" s="66"/>
      <c r="J90" s="66"/>
      <c r="K90" s="66"/>
      <c r="L90" s="66"/>
      <c r="M90" s="66"/>
      <c r="N90" s="66"/>
      <c r="O90" s="66"/>
      <c r="P90" s="66"/>
      <c r="Q90" s="66"/>
      <c r="R90" s="66"/>
      <c r="S90" s="66"/>
      <c r="T90" s="66"/>
      <c r="U90" s="66"/>
      <c r="V90" s="66"/>
    </row>
    <row r="91" spans="1:22" ht="12.75" customHeight="1">
      <c r="A91" s="66"/>
      <c r="B91" s="66"/>
      <c r="C91" s="66"/>
      <c r="D91" s="66"/>
      <c r="E91" s="66"/>
      <c r="F91" s="66"/>
      <c r="G91" s="66"/>
      <c r="H91" s="66"/>
      <c r="I91" s="66"/>
      <c r="J91" s="66"/>
      <c r="K91" s="66"/>
      <c r="L91" s="66"/>
      <c r="M91" s="66"/>
      <c r="N91" s="66"/>
      <c r="O91" s="66"/>
      <c r="P91" s="66"/>
      <c r="Q91" s="66"/>
      <c r="R91" s="66"/>
      <c r="S91" s="66"/>
      <c r="T91" s="66"/>
      <c r="U91" s="66"/>
      <c r="V91" s="66"/>
    </row>
    <row r="92" spans="1:22" ht="12.75" customHeight="1">
      <c r="A92" s="66"/>
      <c r="B92" s="66"/>
      <c r="C92" s="66"/>
      <c r="D92" s="66"/>
      <c r="E92" s="66"/>
      <c r="F92" s="66"/>
      <c r="G92" s="66"/>
      <c r="H92" s="66"/>
      <c r="I92" s="66"/>
      <c r="J92" s="66"/>
      <c r="K92" s="66"/>
      <c r="L92" s="66"/>
      <c r="M92" s="66"/>
      <c r="N92" s="66"/>
      <c r="O92" s="66"/>
      <c r="P92" s="66"/>
      <c r="Q92" s="66"/>
      <c r="R92" s="66"/>
      <c r="S92" s="66"/>
      <c r="T92" s="66"/>
      <c r="U92" s="66"/>
      <c r="V92" s="66"/>
    </row>
    <row r="93" spans="1:22" ht="12.75" customHeight="1">
      <c r="A93" s="66"/>
      <c r="B93" s="66"/>
      <c r="C93" s="66"/>
      <c r="D93" s="66"/>
      <c r="E93" s="66"/>
      <c r="F93" s="66"/>
      <c r="G93" s="66"/>
      <c r="H93" s="66"/>
      <c r="I93" s="66"/>
      <c r="J93" s="66"/>
      <c r="K93" s="66"/>
      <c r="L93" s="66"/>
      <c r="M93" s="66"/>
      <c r="N93" s="66"/>
      <c r="O93" s="66"/>
      <c r="P93" s="66"/>
      <c r="Q93" s="66"/>
      <c r="R93" s="66"/>
      <c r="S93" s="66"/>
      <c r="T93" s="66"/>
      <c r="U93" s="66"/>
      <c r="V93" s="66"/>
    </row>
    <row r="94" spans="1:22" ht="12.75" customHeight="1">
      <c r="A94" s="66"/>
      <c r="B94" s="66"/>
      <c r="C94" s="66"/>
      <c r="D94" s="66"/>
      <c r="E94" s="66"/>
      <c r="F94" s="66"/>
      <c r="G94" s="66"/>
      <c r="H94" s="66"/>
      <c r="I94" s="66"/>
      <c r="J94" s="66"/>
      <c r="K94" s="66"/>
      <c r="L94" s="66"/>
      <c r="M94" s="66"/>
      <c r="N94" s="66"/>
      <c r="O94" s="66"/>
      <c r="P94" s="66"/>
      <c r="Q94" s="66"/>
      <c r="R94" s="66"/>
      <c r="S94" s="66"/>
      <c r="T94" s="66"/>
      <c r="U94" s="66"/>
      <c r="V94" s="66"/>
    </row>
    <row r="95" spans="1:22" ht="12.75" customHeight="1">
      <c r="A95" s="66"/>
      <c r="B95" s="66"/>
      <c r="C95" s="66"/>
      <c r="D95" s="66"/>
      <c r="E95" s="66"/>
      <c r="F95" s="66"/>
      <c r="G95" s="66"/>
      <c r="H95" s="66"/>
      <c r="I95" s="66"/>
      <c r="J95" s="66"/>
      <c r="K95" s="66"/>
      <c r="L95" s="66"/>
      <c r="M95" s="66"/>
      <c r="N95" s="66"/>
      <c r="O95" s="66"/>
      <c r="P95" s="66"/>
      <c r="Q95" s="66"/>
      <c r="R95" s="66"/>
      <c r="S95" s="66"/>
      <c r="T95" s="66"/>
      <c r="U95" s="66"/>
      <c r="V95" s="66"/>
    </row>
    <row r="96" spans="1:22" ht="12.75" customHeight="1">
      <c r="A96" s="66"/>
      <c r="B96" s="66"/>
      <c r="C96" s="66"/>
      <c r="D96" s="66"/>
      <c r="E96" s="66"/>
      <c r="F96" s="66"/>
      <c r="G96" s="66"/>
      <c r="H96" s="66"/>
      <c r="I96" s="66"/>
      <c r="J96" s="66"/>
      <c r="K96" s="66"/>
      <c r="L96" s="66"/>
      <c r="M96" s="66"/>
      <c r="N96" s="66"/>
      <c r="O96" s="66"/>
      <c r="P96" s="66"/>
      <c r="Q96" s="66"/>
      <c r="R96" s="66"/>
      <c r="S96" s="66"/>
      <c r="T96" s="66"/>
      <c r="U96" s="66"/>
      <c r="V96" s="66"/>
    </row>
    <row r="97" spans="1:22" ht="12.75" customHeight="1">
      <c r="A97" s="66"/>
      <c r="B97" s="66"/>
      <c r="C97" s="66"/>
      <c r="D97" s="66"/>
      <c r="E97" s="66"/>
      <c r="F97" s="66"/>
      <c r="G97" s="66"/>
      <c r="H97" s="66"/>
      <c r="I97" s="66"/>
      <c r="J97" s="66"/>
      <c r="K97" s="66"/>
      <c r="L97" s="66"/>
      <c r="M97" s="66"/>
      <c r="N97" s="66"/>
      <c r="O97" s="66"/>
      <c r="P97" s="66"/>
      <c r="Q97" s="66"/>
      <c r="R97" s="66"/>
      <c r="S97" s="66"/>
      <c r="T97" s="66"/>
      <c r="U97" s="66"/>
      <c r="V97" s="66"/>
    </row>
    <row r="98" spans="1:22" ht="12.75" customHeight="1">
      <c r="A98" s="66"/>
      <c r="B98" s="66"/>
      <c r="C98" s="66"/>
      <c r="D98" s="66"/>
      <c r="E98" s="66"/>
      <c r="F98" s="66"/>
      <c r="G98" s="66"/>
      <c r="H98" s="66"/>
      <c r="I98" s="66"/>
      <c r="J98" s="66"/>
      <c r="K98" s="66"/>
      <c r="L98" s="66"/>
      <c r="M98" s="66"/>
      <c r="N98" s="66"/>
      <c r="O98" s="66"/>
      <c r="P98" s="66"/>
      <c r="Q98" s="66"/>
      <c r="R98" s="66"/>
      <c r="S98" s="66"/>
      <c r="T98" s="66"/>
      <c r="U98" s="66"/>
      <c r="V98" s="66"/>
    </row>
    <row r="99" spans="1:22" ht="12.75" customHeight="1">
      <c r="A99" s="66"/>
      <c r="B99" s="66"/>
      <c r="C99" s="66"/>
      <c r="D99" s="66"/>
      <c r="E99" s="66"/>
      <c r="F99" s="66"/>
      <c r="G99" s="66"/>
      <c r="H99" s="66"/>
      <c r="I99" s="66"/>
      <c r="J99" s="66"/>
      <c r="K99" s="66"/>
      <c r="L99" s="66"/>
      <c r="M99" s="66"/>
      <c r="N99" s="66"/>
      <c r="O99" s="66"/>
      <c r="P99" s="66"/>
      <c r="Q99" s="66"/>
      <c r="R99" s="66"/>
      <c r="S99" s="66"/>
      <c r="T99" s="66"/>
      <c r="U99" s="66"/>
      <c r="V99" s="66"/>
    </row>
    <row r="100" spans="1:22" ht="12.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row>
    <row r="101" spans="1:22" ht="12.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row>
    <row r="102" spans="1:22" ht="12.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row>
    <row r="103" spans="1:22" ht="12.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row>
    <row r="104" spans="1:22" ht="12.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row>
    <row r="105" spans="1:22" ht="12.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row>
    <row r="106" spans="1:22" ht="12.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row>
    <row r="107" spans="1:22" ht="12.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row>
    <row r="108" spans="1:22" ht="12.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row>
    <row r="109" spans="1:22" ht="12.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row>
    <row r="110" spans="1:22" ht="12.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row>
    <row r="111" spans="1:22" ht="12.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row>
    <row r="112" spans="1:22" ht="12.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row>
    <row r="113" spans="1:22" ht="12.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row>
    <row r="114" spans="1:22" ht="12.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row>
    <row r="115" spans="1:22" ht="12.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row>
    <row r="116" spans="1:22" ht="12.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row>
    <row r="117" spans="1:22" ht="12.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row>
    <row r="118" spans="1:22" ht="12.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row>
    <row r="119" spans="1:22" ht="12.75" customHeight="1">
      <c r="A119" s="3" t="s">
        <v>110</v>
      </c>
      <c r="B119" s="21" t="s">
        <v>43</v>
      </c>
      <c r="C119" s="21" t="s">
        <v>44</v>
      </c>
      <c r="D119" s="21" t="s">
        <v>45</v>
      </c>
      <c r="E119" s="21" t="s">
        <v>46</v>
      </c>
      <c r="F119" s="21" t="s">
        <v>47</v>
      </c>
      <c r="G119" s="21" t="s">
        <v>48</v>
      </c>
      <c r="H119" s="21" t="s">
        <v>49</v>
      </c>
      <c r="I119" s="21" t="s">
        <v>50</v>
      </c>
      <c r="J119" s="21" t="s">
        <v>51</v>
      </c>
      <c r="K119" s="21" t="s">
        <v>52</v>
      </c>
      <c r="L119" s="21" t="s">
        <v>53</v>
      </c>
      <c r="M119" s="21" t="s">
        <v>54</v>
      </c>
      <c r="N119" s="66"/>
      <c r="O119" s="66"/>
      <c r="P119" s="66"/>
      <c r="Q119" s="66"/>
      <c r="R119" s="66"/>
      <c r="S119" s="66"/>
      <c r="T119" s="66"/>
      <c r="U119" s="66"/>
      <c r="V119" s="66"/>
    </row>
    <row r="120" spans="1:22" ht="12.75" customHeight="1">
      <c r="A120" s="42" t="s">
        <v>111</v>
      </c>
      <c r="B120" s="63">
        <f>EBIT!C7-EBIT!C36</f>
        <v>484294.31999998959</v>
      </c>
      <c r="C120" s="63">
        <f>EBIT!D7-EBIT!D36</f>
        <v>1742006.2299999995</v>
      </c>
      <c r="D120" s="63">
        <f>EBIT!E7-EBIT!E36</f>
        <v>-1317018.28000001</v>
      </c>
      <c r="E120" s="63">
        <f>EBIT!F7-EBIT!F36</f>
        <v>-204828.77000000048</v>
      </c>
      <c r="F120" s="63">
        <f>EBIT!G7-EBIT!G36</f>
        <v>147574.7200000002</v>
      </c>
      <c r="G120" s="63">
        <f>EBIT!H7-EBIT!H36</f>
        <v>106582.04999999981</v>
      </c>
      <c r="H120" s="63">
        <f>EBIT!I7-EBIT!I36</f>
        <v>902983.93999999901</v>
      </c>
      <c r="I120" s="63">
        <f>EBIT!J7-EBIT!J36</f>
        <v>112724.19999999972</v>
      </c>
      <c r="J120" s="63">
        <f>EBIT!K7-EBIT!K36</f>
        <v>169741.73000000045</v>
      </c>
      <c r="K120" s="63">
        <f>EBIT!L7-EBIT!L36</f>
        <v>115729.20999999996</v>
      </c>
      <c r="L120" s="63">
        <f>EBIT!M7-EBIT!M36</f>
        <v>461531.6799999997</v>
      </c>
      <c r="M120" s="63">
        <f>EBIT!N7-EBIT!N36</f>
        <v>474629.10000000009</v>
      </c>
      <c r="N120" s="66"/>
      <c r="O120" s="66"/>
      <c r="P120" s="66"/>
      <c r="Q120" s="66"/>
      <c r="R120" s="66"/>
      <c r="S120" s="66"/>
      <c r="T120" s="66"/>
      <c r="U120" s="66"/>
      <c r="V120" s="66"/>
    </row>
    <row r="121" spans="1:22" ht="12.75" customHeight="1">
      <c r="A121" s="42" t="s">
        <v>112</v>
      </c>
      <c r="B121" s="63">
        <f>EBIT!C8-EBIT!C37</f>
        <v>5500.9499999999971</v>
      </c>
      <c r="C121" s="63">
        <f>EBIT!D8-EBIT!D37</f>
        <v>-5789.0499999999993</v>
      </c>
      <c r="D121" s="63">
        <f>EBIT!E8-EBIT!E37</f>
        <v>11241.32</v>
      </c>
      <c r="E121" s="63">
        <f>EBIT!F8-EBIT!F37</f>
        <v>-3877</v>
      </c>
      <c r="F121" s="63">
        <f>EBIT!G8-EBIT!G37</f>
        <v>2233</v>
      </c>
      <c r="G121" s="63">
        <f>EBIT!H8-EBIT!H37</f>
        <v>1527</v>
      </c>
      <c r="H121" s="63">
        <f>EBIT!I8-EBIT!I37</f>
        <v>2471</v>
      </c>
      <c r="I121" s="63">
        <f>EBIT!J8-EBIT!J37</f>
        <v>5288</v>
      </c>
      <c r="J121" s="63">
        <f>EBIT!K8-EBIT!K37</f>
        <v>-2651</v>
      </c>
      <c r="K121" s="63">
        <f>EBIT!L8-EBIT!L37</f>
        <v>-2657</v>
      </c>
      <c r="L121" s="63">
        <f>EBIT!M8-EBIT!M37</f>
        <v>-1828</v>
      </c>
      <c r="M121" s="63">
        <f>EBIT!N8-EBIT!N37</f>
        <v>3589</v>
      </c>
      <c r="N121" s="66"/>
      <c r="O121" s="66"/>
      <c r="P121" s="66"/>
      <c r="Q121" s="66"/>
      <c r="R121" s="66"/>
      <c r="S121" s="66"/>
      <c r="T121" s="66"/>
      <c r="U121" s="66"/>
      <c r="V121" s="66"/>
    </row>
    <row r="122" spans="1:22" ht="12.75" customHeight="1">
      <c r="A122" s="42" t="s">
        <v>113</v>
      </c>
      <c r="B122" s="63">
        <f>EBIT!C9-EBIT!C38</f>
        <v>-10796.740000000002</v>
      </c>
      <c r="C122" s="63">
        <f>EBIT!D9-EBIT!D38</f>
        <v>1298.2200000000012</v>
      </c>
      <c r="D122" s="63">
        <f>EBIT!E9-EBIT!E38</f>
        <v>-8681</v>
      </c>
      <c r="E122" s="63">
        <f>EBIT!F9-EBIT!F38</f>
        <v>-4200</v>
      </c>
      <c r="F122" s="63">
        <f>EBIT!G9-EBIT!G38</f>
        <v>-1348</v>
      </c>
      <c r="G122" s="63">
        <f>EBIT!H9-EBIT!H38</f>
        <v>1034</v>
      </c>
      <c r="H122" s="63">
        <f>EBIT!I9-EBIT!I38</f>
        <v>-482</v>
      </c>
      <c r="I122" s="63">
        <f>EBIT!J9-EBIT!J38</f>
        <v>-1346</v>
      </c>
      <c r="J122" s="63">
        <f>EBIT!K9-EBIT!K38</f>
        <v>-8062</v>
      </c>
      <c r="K122" s="63">
        <f>EBIT!L9-EBIT!L38</f>
        <v>933</v>
      </c>
      <c r="L122" s="63">
        <f>EBIT!M9-EBIT!M38</f>
        <v>-2868</v>
      </c>
      <c r="M122" s="63">
        <f>EBIT!N9-EBIT!N38</f>
        <v>-241</v>
      </c>
      <c r="N122" s="66"/>
      <c r="O122" s="66"/>
      <c r="P122" s="66"/>
      <c r="Q122" s="66"/>
      <c r="R122" s="66"/>
      <c r="S122" s="66"/>
      <c r="T122" s="66"/>
      <c r="U122" s="66"/>
      <c r="V122" s="66"/>
    </row>
    <row r="123" spans="1:22" ht="12.75" customHeight="1" thickBot="1">
      <c r="A123" s="48" t="s">
        <v>56</v>
      </c>
      <c r="B123" s="63">
        <f>EBIT!C39-EBIT!C10</f>
        <v>247014.13999999966</v>
      </c>
      <c r="C123" s="63">
        <f>EBIT!D39-EBIT!D10</f>
        <v>2181579.9999999991</v>
      </c>
      <c r="D123" s="63">
        <f>EBIT!E39-EBIT!E10</f>
        <v>1587941.5899999999</v>
      </c>
      <c r="E123" s="63">
        <f>EBIT!F39-EBIT!F10</f>
        <v>3068220.5799999991</v>
      </c>
      <c r="F123" s="63">
        <f>EBIT!G39-EBIT!G10</f>
        <v>641500.80999999959</v>
      </c>
      <c r="G123" s="63">
        <f>EBIT!H39-EBIT!H10</f>
        <v>-301869.58000000007</v>
      </c>
      <c r="H123" s="63">
        <f>EBIT!I39-EBIT!I10</f>
        <v>713466.13999999873</v>
      </c>
      <c r="I123" s="63">
        <f>EBIT!J39-EBIT!J10</f>
        <v>165734.96999999881</v>
      </c>
      <c r="J123" s="63">
        <f>EBIT!K39-EBIT!K10</f>
        <v>-5417.8000000007451</v>
      </c>
      <c r="K123" s="63">
        <f>EBIT!L39-EBIT!L10</f>
        <v>-458893.13999999966</v>
      </c>
      <c r="L123" s="63">
        <f>EBIT!M39-EBIT!M10</f>
        <v>242882.94999999925</v>
      </c>
      <c r="M123" s="63">
        <f>EBIT!N39-EBIT!N10</f>
        <v>-600441.8900000006</v>
      </c>
      <c r="N123" s="66"/>
      <c r="O123" s="66"/>
      <c r="P123" s="66"/>
      <c r="Q123" s="66"/>
      <c r="R123" s="66"/>
      <c r="S123" s="66"/>
      <c r="T123" s="66"/>
      <c r="U123" s="66"/>
      <c r="V123" s="66"/>
    </row>
    <row r="124" spans="1:22" ht="12.75" customHeight="1" thickTop="1" thickBot="1">
      <c r="A124" s="159" t="s">
        <v>114</v>
      </c>
      <c r="B124" s="160">
        <f>EBIT!C11-EBIT!C40</f>
        <v>-231984.38999998942</v>
      </c>
      <c r="C124" s="160">
        <f>EBIT!D11-EBIT!D40</f>
        <v>444064.59999999963</v>
      </c>
      <c r="D124" s="160">
        <f>EBIT!E11-EBIT!E40</f>
        <v>2902399.5500000101</v>
      </c>
      <c r="E124" s="160">
        <f>EBIT!F11-EBIT!F40</f>
        <v>3281126.3499999996</v>
      </c>
      <c r="F124" s="160">
        <f>EBIT!G11-EBIT!G40</f>
        <v>493041.08999999892</v>
      </c>
      <c r="G124" s="160">
        <f>EBIT!H11-EBIT!H40</f>
        <v>-411012.63000000082</v>
      </c>
      <c r="H124" s="160">
        <f>EBIT!I11-EBIT!I40</f>
        <v>-191506.80000000075</v>
      </c>
      <c r="I124" s="160">
        <f>EBIT!J11-EBIT!J40</f>
        <v>49068.769999998622</v>
      </c>
      <c r="J124" s="160">
        <f>EBIT!K11-EBIT!K40</f>
        <v>-164446.53000000119</v>
      </c>
      <c r="K124" s="160">
        <f>EBIT!L11-EBIT!L40</f>
        <v>-572898.35000000009</v>
      </c>
      <c r="L124" s="160">
        <f>EBIT!M11-EBIT!M40</f>
        <v>-213952.73000000045</v>
      </c>
      <c r="M124" s="160">
        <f>EBIT!N11-EBIT!N40</f>
        <v>-1078418.9900000007</v>
      </c>
      <c r="N124" s="66"/>
      <c r="O124" s="66"/>
      <c r="P124" s="66"/>
      <c r="Q124" s="66"/>
      <c r="R124" s="66"/>
      <c r="S124" s="66"/>
      <c r="T124" s="66"/>
      <c r="U124" s="66"/>
      <c r="V124" s="66"/>
    </row>
    <row r="125" spans="1:22" ht="12.75" customHeight="1" thickTop="1">
      <c r="A125" s="66"/>
      <c r="B125" s="63"/>
      <c r="C125" s="66"/>
      <c r="D125" s="66"/>
      <c r="E125" s="66"/>
      <c r="F125" s="66"/>
      <c r="G125" s="66"/>
      <c r="H125" s="66"/>
      <c r="I125" s="66"/>
      <c r="J125" s="66"/>
      <c r="K125" s="66"/>
      <c r="L125" s="66"/>
      <c r="M125" s="66"/>
      <c r="N125" s="66"/>
      <c r="O125" s="66"/>
      <c r="P125" s="66"/>
      <c r="Q125" s="66"/>
      <c r="R125" s="66"/>
      <c r="S125" s="66"/>
      <c r="T125" s="66"/>
      <c r="U125" s="66"/>
      <c r="V125" s="66"/>
    </row>
    <row r="126" spans="1:22" ht="12.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row>
    <row r="127" spans="1:22" ht="12.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row>
    <row r="128" spans="1:22" ht="12.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row>
    <row r="129" spans="1:22" ht="12.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row>
    <row r="130" spans="1:22" ht="12.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row>
    <row r="131" spans="1:22" ht="12.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row>
    <row r="132" spans="1:22" ht="12.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row>
    <row r="133" spans="1:22" ht="12.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row>
    <row r="134" spans="1:22" ht="12.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row>
    <row r="135" spans="1:22" ht="12.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row>
    <row r="136" spans="1:22" ht="12.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row>
    <row r="137" spans="1:22" ht="12.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row>
    <row r="138" spans="1:22" ht="12.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row>
    <row r="139" spans="1:22" ht="12.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row>
    <row r="140" spans="1:22" ht="12.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row>
    <row r="141" spans="1:22" ht="12.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row>
    <row r="142" spans="1:22" ht="12.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row>
    <row r="143" spans="1:22" ht="12.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row>
    <row r="144" spans="1:22" ht="12.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row>
    <row r="145" spans="1:22" ht="12.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row>
    <row r="146" spans="1:22" ht="12.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row>
    <row r="147" spans="1:22" ht="12.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row>
    <row r="148" spans="1:22" ht="12.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row>
    <row r="149" spans="1:22" ht="12.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row>
    <row r="150" spans="1:22" ht="12.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row>
    <row r="151" spans="1:22" ht="12.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row>
    <row r="152" spans="1:22" ht="12.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row>
    <row r="153" spans="1:22" ht="12.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row>
    <row r="154" spans="1:22" ht="12.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row>
    <row r="155" spans="1:22" ht="12.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row>
    <row r="156" spans="1:22" ht="12.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row>
    <row r="157" spans="1:22" ht="12.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row>
    <row r="158" spans="1:22" ht="12.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row>
    <row r="159" spans="1:22" ht="12.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row>
    <row r="160" spans="1:22" ht="12.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row>
    <row r="161" spans="1:22" ht="12.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row>
    <row r="162" spans="1:22" ht="12.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row>
    <row r="163" spans="1:22" ht="12.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row>
    <row r="164" spans="1:22" ht="12.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row>
    <row r="165" spans="1:22" ht="12.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row>
    <row r="166" spans="1:22" ht="12.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row>
    <row r="167" spans="1:22" ht="12.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row>
    <row r="168" spans="1:22" ht="12.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row>
    <row r="169" spans="1:22" ht="12.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row>
    <row r="170" spans="1:22" ht="12.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row>
    <row r="171" spans="1:22" ht="12.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row>
    <row r="172" spans="1:22" ht="12.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row>
    <row r="173" spans="1:22" ht="12.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row>
    <row r="174" spans="1:22" ht="12.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row>
    <row r="175" spans="1:22" ht="12.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row>
    <row r="176" spans="1:22" ht="12.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row>
    <row r="177" spans="1:22" ht="12.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row>
    <row r="178" spans="1:22" ht="12.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row>
    <row r="179" spans="1:22" ht="12.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row>
    <row r="180" spans="1:22" ht="12.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row>
    <row r="181" spans="1:22" ht="12.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row>
    <row r="182" spans="1:22" ht="12.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row>
    <row r="183" spans="1:22" ht="12.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row>
    <row r="184" spans="1:22" ht="12.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row>
    <row r="185" spans="1:22" ht="12.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row>
    <row r="186" spans="1:22" ht="12.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row>
    <row r="187" spans="1:22" ht="12.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row>
    <row r="188" spans="1:22" ht="12.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row>
    <row r="189" spans="1:22" ht="12.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row>
    <row r="190" spans="1:22" ht="12.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row>
    <row r="191" spans="1:22" ht="12.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row>
    <row r="192" spans="1:22" ht="12.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row>
    <row r="193" spans="1:22" ht="12.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row>
    <row r="194" spans="1:22" ht="12.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row>
    <row r="195" spans="1:22" ht="12.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row>
    <row r="196" spans="1:22" ht="12.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row>
    <row r="197" spans="1:22" ht="12.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row>
    <row r="198" spans="1:22" ht="12.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row>
    <row r="199" spans="1:22" ht="12.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row>
    <row r="200" spans="1:22" ht="12.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row>
    <row r="201" spans="1:22" ht="12.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row>
    <row r="202" spans="1:22" ht="12.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row>
    <row r="203" spans="1:22" ht="12.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row>
    <row r="204" spans="1:22" ht="12.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row>
    <row r="205" spans="1:22" ht="12.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row>
    <row r="206" spans="1:22" ht="12.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row>
    <row r="207" spans="1:22" ht="12.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row>
    <row r="208" spans="1:22" ht="12.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row>
    <row r="209" spans="1:22" ht="12.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row>
    <row r="210" spans="1:22" ht="12.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row>
    <row r="211" spans="1:22" ht="12.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row>
    <row r="212" spans="1:22" ht="12.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row>
    <row r="213" spans="1:22" ht="12.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row>
    <row r="214" spans="1:22" ht="12.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row>
    <row r="215" spans="1:22" ht="12.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row>
    <row r="216" spans="1:22" ht="12.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row>
    <row r="217" spans="1:22" ht="12.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row>
    <row r="218" spans="1:22" ht="12.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row>
    <row r="219" spans="1:22" ht="12.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row>
    <row r="220" spans="1:22" ht="12.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row>
    <row r="221" spans="1:22" ht="12.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row>
    <row r="222" spans="1:22" ht="12.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row>
    <row r="223" spans="1:22" ht="12.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row>
    <row r="224" spans="1:22" ht="12.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row>
    <row r="225" spans="1:22" ht="12.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row>
    <row r="226" spans="1:22" ht="12.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row>
    <row r="227" spans="1:22" ht="12.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row>
    <row r="228" spans="1:22" ht="12.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row>
    <row r="229" spans="1:22" ht="12.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row>
    <row r="230" spans="1:22" ht="12.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row>
    <row r="231" spans="1:22" ht="12.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row>
    <row r="232" spans="1:22" ht="12.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row>
    <row r="233" spans="1:22" ht="12.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row>
    <row r="234" spans="1:22" ht="12.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row>
    <row r="235" spans="1:22" ht="12.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row>
    <row r="236" spans="1:22" ht="12.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row>
    <row r="237" spans="1:22" ht="12.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row>
    <row r="238" spans="1:22" ht="12.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row>
    <row r="239" spans="1:22" ht="12.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row>
    <row r="240" spans="1:22" ht="12.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row>
    <row r="241" spans="1:22" ht="12.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row>
    <row r="242" spans="1:22" ht="12.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row>
    <row r="243" spans="1:22" ht="12.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row>
    <row r="244" spans="1:22" ht="12.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row>
    <row r="245" spans="1:22" ht="12.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row>
    <row r="246" spans="1:22" ht="12.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row>
    <row r="247" spans="1:22" ht="12.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row>
    <row r="248" spans="1:22" ht="12.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row>
    <row r="249" spans="1:22" ht="12.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row>
    <row r="250" spans="1:22" ht="12.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row>
    <row r="251" spans="1:22" ht="12.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row>
    <row r="252" spans="1:22" ht="12.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row>
    <row r="253" spans="1:22" ht="12.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row>
    <row r="254" spans="1:22" ht="12.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row>
    <row r="255" spans="1:22" ht="12.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row>
    <row r="256" spans="1:22" ht="12.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row>
    <row r="257" spans="1:22" ht="12.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row>
    <row r="258" spans="1:22" ht="12.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row>
    <row r="259" spans="1:22" ht="12.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row>
    <row r="260" spans="1:22" ht="12.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row>
    <row r="261" spans="1:22" ht="12.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row>
    <row r="262" spans="1:22" ht="12.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row>
    <row r="263" spans="1:22" ht="12.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row>
    <row r="264" spans="1:22" ht="12.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row>
    <row r="265" spans="1:22" ht="12.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row>
    <row r="266" spans="1:22" ht="12.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row>
    <row r="267" spans="1:22" ht="12.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row>
    <row r="268" spans="1:22" ht="12.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row>
    <row r="269" spans="1:22" ht="12.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row>
    <row r="270" spans="1:22" ht="12.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row>
    <row r="271" spans="1:22" ht="12.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row>
    <row r="272" spans="1:22" ht="12.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row>
    <row r="273" spans="1:22" ht="12.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row>
    <row r="274" spans="1:22" ht="12.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row>
    <row r="275" spans="1:22" ht="12.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row>
    <row r="276" spans="1:22" ht="12.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row>
    <row r="277" spans="1:22" ht="12.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row>
    <row r="278" spans="1:22" ht="12.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row>
    <row r="279" spans="1:22" ht="12.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row>
    <row r="280" spans="1:22" ht="12.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row>
    <row r="281" spans="1:22" ht="12.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row>
    <row r="282" spans="1:22" ht="12.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row>
    <row r="283" spans="1:22" ht="12.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row>
    <row r="284" spans="1:22" ht="12.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row>
    <row r="285" spans="1:22" ht="12.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row>
    <row r="286" spans="1:22" ht="12.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row>
    <row r="287" spans="1:22" ht="12.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row>
    <row r="288" spans="1:22" ht="12.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row>
    <row r="289" spans="1:22" ht="12.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row>
    <row r="290" spans="1:22" ht="12.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row>
    <row r="291" spans="1:22" ht="12.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row>
    <row r="292" spans="1:22" ht="12.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row>
    <row r="293" spans="1:22" ht="12.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row>
    <row r="294" spans="1:22" ht="12.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row>
    <row r="295" spans="1:22" ht="12.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row>
    <row r="296" spans="1:22" ht="12.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row>
    <row r="297" spans="1:22" ht="12.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row>
    <row r="298" spans="1:22" ht="12.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row>
    <row r="299" spans="1:22" ht="12.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row>
    <row r="300" spans="1:22" ht="12.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row>
    <row r="301" spans="1:22" ht="12.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row>
    <row r="302" spans="1:22" ht="12.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row>
    <row r="303" spans="1:22" ht="12.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row>
    <row r="304" spans="1:22" ht="12.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row>
    <row r="305" spans="1:22" ht="12.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row>
    <row r="306" spans="1:22" ht="12.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row>
    <row r="307" spans="1:22" ht="12.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row>
    <row r="308" spans="1:22" ht="12.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row>
    <row r="309" spans="1:22" ht="12.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row>
    <row r="310" spans="1:22" ht="12.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row>
    <row r="311" spans="1:22" ht="12.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row>
    <row r="312" spans="1:22" ht="12.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row>
    <row r="313" spans="1:22" ht="12.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row>
    <row r="314" spans="1:22" ht="12.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row>
    <row r="315" spans="1:22" ht="12.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row>
    <row r="316" spans="1:22" ht="12.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row>
    <row r="317" spans="1:22" ht="12.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row>
    <row r="318" spans="1:22" ht="12.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row>
    <row r="319" spans="1:22" ht="12.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row>
    <row r="320" spans="1:22" ht="12.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row>
    <row r="321" spans="1:22" ht="12.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row>
    <row r="322" spans="1:22" ht="12.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row>
    <row r="323" spans="1:22" ht="12.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row>
    <row r="324" spans="1:22" ht="12.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row>
    <row r="325" spans="1:22" ht="12.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row>
    <row r="326" spans="1:22" ht="12.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row>
    <row r="327" spans="1:22" ht="12.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row>
    <row r="328" spans="1:22" ht="12.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row>
    <row r="329" spans="1:22" ht="12.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row>
    <row r="330" spans="1:22" ht="12.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row>
    <row r="331" spans="1:22" ht="12.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row>
    <row r="332" spans="1:22" ht="12.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row>
    <row r="333" spans="1:22" ht="12.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row>
    <row r="334" spans="1:22" ht="12.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row>
    <row r="335" spans="1:22" ht="12.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row>
    <row r="336" spans="1:22" ht="12.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row>
    <row r="337" spans="1:22" ht="12.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row>
    <row r="338" spans="1:22" ht="12.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row>
    <row r="339" spans="1:22" ht="12.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row>
    <row r="340" spans="1:22" ht="12.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row>
    <row r="341" spans="1:22" ht="12.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row>
    <row r="342" spans="1:22" ht="12.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row>
    <row r="343" spans="1:22" ht="12.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row>
    <row r="344" spans="1:22" ht="12.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row>
    <row r="345" spans="1:22" ht="12.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row>
    <row r="346" spans="1:22" ht="12.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row>
    <row r="347" spans="1:22" ht="12.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row>
    <row r="348" spans="1:22" ht="12.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row>
    <row r="349" spans="1:22" ht="12.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row>
    <row r="350" spans="1:22" ht="12.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row>
    <row r="351" spans="1:22" ht="12.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row>
    <row r="352" spans="1:22" ht="12.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row>
    <row r="353" spans="1:22" ht="12.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row>
    <row r="354" spans="1:22" ht="12.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row>
    <row r="355" spans="1:22" ht="12.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row>
    <row r="356" spans="1:22" ht="12.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row>
    <row r="357" spans="1:22" ht="12.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row>
    <row r="358" spans="1:22" ht="12.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row>
    <row r="359" spans="1:22" ht="12.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row>
    <row r="360" spans="1:22" ht="12.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row>
    <row r="361" spans="1:22" ht="12.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row>
    <row r="362" spans="1:22" ht="12.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row>
    <row r="363" spans="1:22" ht="12.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row>
    <row r="364" spans="1:22" ht="12.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row>
    <row r="365" spans="1:22" ht="12.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row>
    <row r="366" spans="1:22" ht="12.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row>
    <row r="367" spans="1:22" ht="12.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row>
    <row r="368" spans="1:22" ht="12.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row>
    <row r="369" spans="1:22" ht="12.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row>
    <row r="370" spans="1:22" ht="12.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row>
    <row r="371" spans="1:22" ht="12.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row>
    <row r="372" spans="1:22" ht="12.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row>
    <row r="373" spans="1:22" ht="12.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row>
    <row r="374" spans="1:22" ht="12.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row>
    <row r="375" spans="1:22" ht="12.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row>
    <row r="376" spans="1:22" ht="12.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row>
    <row r="377" spans="1:22" ht="12.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row>
    <row r="378" spans="1:22" ht="12.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row>
    <row r="379" spans="1:22" ht="12.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row>
    <row r="380" spans="1:22" ht="12.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row>
    <row r="381" spans="1:22" ht="12.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row>
    <row r="382" spans="1:22" ht="12.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row>
    <row r="383" spans="1:22" ht="12.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row>
    <row r="384" spans="1:22" ht="12.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row>
    <row r="385" spans="1:22" ht="12.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row>
    <row r="386" spans="1:22" ht="12.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row>
    <row r="387" spans="1:22" ht="12.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row>
    <row r="388" spans="1:22" ht="12.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row>
    <row r="389" spans="1:22" ht="12.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row>
    <row r="390" spans="1:22" ht="12.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row>
    <row r="391" spans="1:22" ht="12.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row>
    <row r="392" spans="1:22" ht="12.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row>
    <row r="393" spans="1:22" ht="12.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row>
    <row r="394" spans="1:22" ht="12.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row>
    <row r="395" spans="1:22" ht="12.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row>
    <row r="396" spans="1:22" ht="12.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row>
    <row r="397" spans="1:22" ht="12.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row>
    <row r="398" spans="1:22" ht="12.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row>
    <row r="399" spans="1:22" ht="12.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row>
    <row r="400" spans="1:22" ht="12.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row>
    <row r="401" spans="1:22" ht="12.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row>
    <row r="402" spans="1:22" ht="12.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row>
    <row r="403" spans="1:22" ht="12.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row>
    <row r="404" spans="1:22" ht="12.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row>
    <row r="405" spans="1:22" ht="12.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row>
    <row r="406" spans="1:22" ht="12.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row>
    <row r="407" spans="1:22" ht="12.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row>
    <row r="408" spans="1:22" ht="12.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row>
    <row r="409" spans="1:22" ht="12.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row>
    <row r="410" spans="1:22" ht="12.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row>
    <row r="411" spans="1:22" ht="12.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row>
    <row r="412" spans="1:22" ht="12.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row>
    <row r="413" spans="1:22" ht="12.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row>
    <row r="414" spans="1:22" ht="12.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row>
    <row r="415" spans="1:22" ht="12.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row>
    <row r="416" spans="1:22" ht="12.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row>
    <row r="417" spans="1:22" ht="12.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row>
    <row r="418" spans="1:22" ht="12.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row>
    <row r="419" spans="1:22" ht="12.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row>
    <row r="420" spans="1:22" ht="12.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row>
    <row r="421" spans="1:22" ht="12.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row>
    <row r="422" spans="1:22" ht="12.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row>
    <row r="423" spans="1:22" ht="12.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row>
    <row r="424" spans="1:22" ht="12.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row>
    <row r="425" spans="1:22" ht="12.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row>
    <row r="426" spans="1:22" ht="12.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row>
    <row r="427" spans="1:22" ht="12.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row>
    <row r="428" spans="1:22" ht="12.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row>
    <row r="429" spans="1:22" ht="12.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row>
    <row r="430" spans="1:22" ht="12.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row>
    <row r="431" spans="1:22" ht="12.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row>
    <row r="432" spans="1:22" ht="12.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row>
    <row r="433" spans="1:22" ht="12.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row>
    <row r="434" spans="1:22" ht="12.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row>
    <row r="435" spans="1:22" ht="12.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row>
    <row r="436" spans="1:22" ht="12.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row>
    <row r="437" spans="1:22" ht="12.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row>
    <row r="438" spans="1:22" ht="12.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row>
    <row r="439" spans="1:22" ht="12.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row>
    <row r="440" spans="1:22" ht="12.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row>
    <row r="441" spans="1:22" ht="12.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row>
    <row r="442" spans="1:22" ht="12.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row>
    <row r="443" spans="1:22" ht="12.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row>
    <row r="444" spans="1:22" ht="12.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row>
    <row r="445" spans="1:22" ht="12.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row>
    <row r="446" spans="1:22" ht="12.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row>
    <row r="447" spans="1:22" ht="12.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row>
    <row r="448" spans="1:22" ht="12.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row>
    <row r="449" spans="1:22" ht="12.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row>
    <row r="450" spans="1:22" ht="12.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row>
    <row r="451" spans="1:22" ht="12.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row>
    <row r="452" spans="1:22" ht="12.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row>
    <row r="453" spans="1:22" ht="12.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row>
    <row r="454" spans="1:22" ht="12.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row>
    <row r="455" spans="1:22" ht="12.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row>
    <row r="456" spans="1:22" ht="12.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row>
    <row r="457" spans="1:22" ht="12.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row>
    <row r="458" spans="1:22" ht="12.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row>
    <row r="459" spans="1:22" ht="12.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row>
    <row r="460" spans="1:22" ht="12.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row>
    <row r="461" spans="1:22" ht="12.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row>
    <row r="462" spans="1:22" ht="12.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row>
    <row r="463" spans="1:22" ht="12.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row>
    <row r="464" spans="1:22" ht="12.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row>
    <row r="465" spans="1:22" ht="12.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row>
    <row r="466" spans="1:22" ht="12.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row>
    <row r="467" spans="1:22" ht="12.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row>
    <row r="468" spans="1:22" ht="12.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row>
    <row r="469" spans="1:22" ht="12.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row>
    <row r="470" spans="1:22" ht="12.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row>
    <row r="471" spans="1:22" ht="12.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row>
    <row r="472" spans="1:22" ht="12.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row>
    <row r="473" spans="1:22" ht="12.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row>
    <row r="474" spans="1:22" ht="12.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row>
    <row r="475" spans="1:22" ht="12.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row>
    <row r="476" spans="1:22" ht="12.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row>
    <row r="477" spans="1:22" ht="12.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row>
    <row r="478" spans="1:22" ht="12.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row>
    <row r="479" spans="1:22" ht="12.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row>
    <row r="480" spans="1:22" ht="12.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row>
    <row r="481" spans="1:22" ht="12.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row>
    <row r="482" spans="1:22" ht="12.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row>
    <row r="483" spans="1:22" ht="12.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row>
    <row r="484" spans="1:22" ht="12.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row>
    <row r="485" spans="1:22" ht="12.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row>
    <row r="486" spans="1:22" ht="12.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row>
    <row r="487" spans="1:22" ht="12.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row>
    <row r="488" spans="1:22" ht="12.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row>
    <row r="489" spans="1:22" ht="12.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row>
    <row r="490" spans="1:22" ht="12.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row>
    <row r="491" spans="1:22" ht="12.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row>
    <row r="492" spans="1:22" ht="12.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row>
    <row r="493" spans="1:22" ht="12.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row>
    <row r="494" spans="1:22" ht="12.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row>
    <row r="495" spans="1:22" ht="12.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row>
    <row r="496" spans="1:22" ht="12.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row>
    <row r="497" spans="1:22" ht="12.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row>
    <row r="498" spans="1:22" ht="12.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row>
    <row r="499" spans="1:22" ht="12.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row>
    <row r="500" spans="1:22" ht="12.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row>
    <row r="501" spans="1:22" ht="12.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row>
    <row r="502" spans="1:22" ht="12.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row>
    <row r="503" spans="1:22" ht="12.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row>
    <row r="504" spans="1:22" ht="12.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row>
    <row r="505" spans="1:22" ht="12.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row>
    <row r="506" spans="1:22" ht="12.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row>
    <row r="507" spans="1:22" ht="12.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row>
    <row r="508" spans="1:22" ht="12.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row>
    <row r="509" spans="1:22" ht="12.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row>
    <row r="510" spans="1:22" ht="12.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row>
    <row r="511" spans="1:22" ht="12.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row>
    <row r="512" spans="1:22" ht="12.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row>
    <row r="513" spans="1:22" ht="12.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row>
    <row r="514" spans="1:22" ht="12.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row>
    <row r="515" spans="1:22" ht="12.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row>
    <row r="516" spans="1:22" ht="12.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row>
    <row r="517" spans="1:22" ht="12.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row>
    <row r="518" spans="1:22" ht="12.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row>
    <row r="519" spans="1:22" ht="12.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row>
    <row r="520" spans="1:22" ht="12.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row>
    <row r="521" spans="1:22" ht="12.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row>
    <row r="522" spans="1:22" ht="12.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row>
    <row r="523" spans="1:22" ht="12.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row>
    <row r="524" spans="1:22" ht="12.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row>
    <row r="525" spans="1:22" ht="12.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row>
    <row r="526" spans="1:22" ht="12.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row>
    <row r="527" spans="1:22" ht="12.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row>
    <row r="528" spans="1:22" ht="12.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row>
    <row r="529" spans="1:22" ht="12.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row>
    <row r="530" spans="1:22" ht="12.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row>
    <row r="531" spans="1:22" ht="12.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row>
    <row r="532" spans="1:22" ht="12.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row>
    <row r="533" spans="1:22" ht="12.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row>
    <row r="534" spans="1:22" ht="12.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row>
    <row r="535" spans="1:22" ht="12.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row>
    <row r="536" spans="1:22" ht="12.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row>
    <row r="537" spans="1:22" ht="12.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row>
    <row r="538" spans="1:22" ht="12.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row>
    <row r="539" spans="1:22" ht="12.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row>
    <row r="540" spans="1:22" ht="12.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row>
    <row r="541" spans="1:22" ht="12.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row>
    <row r="542" spans="1:22" ht="12.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row>
    <row r="543" spans="1:22" ht="12.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row>
    <row r="544" spans="1:22" ht="12.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row>
    <row r="545" spans="1:22" ht="12.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row>
    <row r="546" spans="1:22" ht="12.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row>
    <row r="547" spans="1:22" ht="12.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row>
    <row r="548" spans="1:22" ht="12.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row>
    <row r="549" spans="1:22" ht="12.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row>
    <row r="550" spans="1:22" ht="12.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row>
    <row r="551" spans="1:22" ht="12.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row>
    <row r="552" spans="1:22" ht="12.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row>
    <row r="553" spans="1:22" ht="12.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row>
    <row r="554" spans="1:22" ht="12.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row>
    <row r="555" spans="1:22" ht="12.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row>
    <row r="556" spans="1:22" ht="12.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row>
    <row r="557" spans="1:22" ht="12.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row>
    <row r="558" spans="1:22" ht="12.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row>
    <row r="559" spans="1:22" ht="12.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row>
    <row r="560" spans="1:22" ht="12.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row>
    <row r="561" spans="1:22" ht="12.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row>
    <row r="562" spans="1:22" ht="12.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row>
    <row r="563" spans="1:22" ht="12.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row>
    <row r="564" spans="1:22" ht="12.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row>
    <row r="565" spans="1:22" ht="12.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row>
    <row r="566" spans="1:22" ht="12.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row>
    <row r="567" spans="1:22" ht="12.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row>
    <row r="568" spans="1:22" ht="12.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row>
    <row r="569" spans="1:22" ht="12.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row>
    <row r="570" spans="1:22" ht="12.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row>
    <row r="571" spans="1:22" ht="12.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row>
    <row r="572" spans="1:22" ht="12.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row>
    <row r="573" spans="1:22" ht="12.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row>
    <row r="574" spans="1:22" ht="12.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row>
    <row r="575" spans="1:22" ht="12.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row>
    <row r="576" spans="1:22" ht="12.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row>
    <row r="577" spans="1:22" ht="12.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row>
    <row r="578" spans="1:22" ht="12.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row>
    <row r="579" spans="1:22" ht="12.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row>
    <row r="580" spans="1:22" ht="12.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row>
    <row r="581" spans="1:22" ht="12.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row>
    <row r="582" spans="1:22" ht="12.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row>
    <row r="583" spans="1:22" ht="12.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row>
    <row r="584" spans="1:22" ht="12.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row>
    <row r="585" spans="1:22" ht="12.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row>
    <row r="586" spans="1:22" ht="12.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row>
    <row r="587" spans="1:22" ht="12.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row>
    <row r="588" spans="1:22" ht="12.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row>
    <row r="589" spans="1:22" ht="12.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row>
    <row r="590" spans="1:22" ht="12.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row>
    <row r="591" spans="1:22" ht="12.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row>
    <row r="592" spans="1:22" ht="12.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row>
    <row r="593" spans="1:22" ht="12.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row>
    <row r="594" spans="1:22" ht="12.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row>
    <row r="595" spans="1:22" ht="12.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row>
    <row r="596" spans="1:22" ht="12.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row>
    <row r="597" spans="1:22" ht="12.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row>
    <row r="598" spans="1:22" ht="12.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row>
    <row r="599" spans="1:22" ht="12.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row>
    <row r="600" spans="1:22" ht="12.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row>
    <row r="601" spans="1:22" ht="12.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row>
    <row r="602" spans="1:22" ht="12.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row>
    <row r="603" spans="1:22" ht="12.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row>
    <row r="604" spans="1:22" ht="12.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row>
    <row r="605" spans="1:22" ht="12.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row>
    <row r="606" spans="1:22" ht="12.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row>
    <row r="607" spans="1:22" ht="12.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row>
    <row r="608" spans="1:22" ht="12.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row>
    <row r="609" spans="1:22" ht="12.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row>
    <row r="610" spans="1:22" ht="12.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row>
    <row r="611" spans="1:22" ht="12.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row>
    <row r="612" spans="1:22" ht="12.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row>
    <row r="613" spans="1:22" ht="12.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row>
    <row r="614" spans="1:22" ht="12.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row>
    <row r="615" spans="1:22" ht="12.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row>
    <row r="616" spans="1:22" ht="12.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row>
    <row r="617" spans="1:22" ht="12.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row>
    <row r="618" spans="1:22" ht="12.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row>
    <row r="619" spans="1:22" ht="12.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row>
    <row r="620" spans="1:22" ht="12.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row>
    <row r="621" spans="1:22" ht="12.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row>
    <row r="622" spans="1:22" ht="12.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row>
    <row r="623" spans="1:22" ht="12.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row>
    <row r="624" spans="1:22" ht="12.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row>
    <row r="625" spans="1:22" ht="12.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row>
    <row r="626" spans="1:22" ht="12.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row>
    <row r="627" spans="1:22" ht="12.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row>
    <row r="628" spans="1:22" ht="12.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row>
    <row r="629" spans="1:22" ht="12.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row>
    <row r="630" spans="1:22" ht="12.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row>
    <row r="631" spans="1:22" ht="12.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row>
    <row r="632" spans="1:22" ht="12.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row>
    <row r="633" spans="1:22" ht="12.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row>
    <row r="634" spans="1:22" ht="12.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row>
    <row r="635" spans="1:22" ht="12.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row>
    <row r="636" spans="1:22" ht="12.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row>
    <row r="637" spans="1:22" ht="12.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row>
    <row r="638" spans="1:22" ht="12.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row>
    <row r="639" spans="1:22" ht="12.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row>
    <row r="640" spans="1:22" ht="12.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row>
    <row r="641" spans="1:22" ht="12.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row>
    <row r="642" spans="1:22" ht="12.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row>
    <row r="643" spans="1:22" ht="12.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row>
    <row r="644" spans="1:22" ht="12.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row>
    <row r="645" spans="1:22" ht="12.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row>
    <row r="646" spans="1:22" ht="12.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row>
    <row r="647" spans="1:22" ht="12.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row>
    <row r="648" spans="1:22" ht="12.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row>
    <row r="649" spans="1:22" ht="12.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row>
    <row r="650" spans="1:22" ht="12.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row>
    <row r="651" spans="1:22" ht="12.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row>
    <row r="652" spans="1:22" ht="12.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row>
    <row r="653" spans="1:22" ht="12.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row>
    <row r="654" spans="1:22" ht="12.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row>
    <row r="655" spans="1:22" ht="12.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row>
    <row r="656" spans="1:22" ht="12.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row>
    <row r="657" spans="1:22" ht="12.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row>
    <row r="658" spans="1:22" ht="12.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row>
    <row r="659" spans="1:22" ht="12.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row>
    <row r="660" spans="1:22" ht="12.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row>
    <row r="661" spans="1:22" ht="12.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row>
    <row r="662" spans="1:22" ht="12.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row>
    <row r="663" spans="1:22" ht="12.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row>
    <row r="664" spans="1:22" ht="12.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row>
    <row r="665" spans="1:22" ht="12.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row>
    <row r="666" spans="1:22" ht="12.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row>
    <row r="667" spans="1:22" ht="12.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row>
    <row r="668" spans="1:22" ht="12.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row>
    <row r="669" spans="1:22" ht="12.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row>
    <row r="670" spans="1:22" ht="12.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row>
    <row r="671" spans="1:22" ht="12.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row>
    <row r="672" spans="1:22" ht="12.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row>
    <row r="673" spans="1:22" ht="12.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row>
    <row r="674" spans="1:22" ht="12.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row>
    <row r="675" spans="1:22" ht="12.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row>
    <row r="676" spans="1:22" ht="12.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row>
    <row r="677" spans="1:22" ht="12.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row>
    <row r="678" spans="1:22" ht="12.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row>
    <row r="679" spans="1:22" ht="12.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row>
    <row r="680" spans="1:22" ht="12.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row>
    <row r="681" spans="1:22" ht="12.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row>
    <row r="682" spans="1:22" ht="12.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row>
    <row r="683" spans="1:22" ht="12.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row>
    <row r="684" spans="1:22" ht="12.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row>
    <row r="685" spans="1:22" ht="12.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row>
    <row r="686" spans="1:22" ht="12.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row>
    <row r="687" spans="1:22" ht="12.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row>
    <row r="688" spans="1:22" ht="12.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row>
    <row r="689" spans="1:22" ht="12.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row>
    <row r="690" spans="1:22" ht="12.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row>
    <row r="691" spans="1:22" ht="12.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row>
    <row r="692" spans="1:22" ht="12.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row>
    <row r="693" spans="1:22" ht="12.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row>
    <row r="694" spans="1:22" ht="12.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row>
    <row r="695" spans="1:22" ht="12.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row>
    <row r="696" spans="1:22" ht="12.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row>
    <row r="697" spans="1:22" ht="12.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row>
    <row r="698" spans="1:22" ht="12.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row>
    <row r="699" spans="1:22" ht="12.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row>
    <row r="700" spans="1:22" ht="12.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row>
    <row r="701" spans="1:22" ht="12.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row>
    <row r="702" spans="1:22" ht="12.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row>
    <row r="703" spans="1:22" ht="12.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row>
    <row r="704" spans="1:22" ht="12.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row>
    <row r="705" spans="1:22" ht="12.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row>
    <row r="706" spans="1:22" ht="12.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row>
    <row r="707" spans="1:22" ht="12.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row>
    <row r="708" spans="1:22" ht="12.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row>
    <row r="709" spans="1:22" ht="12.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row>
    <row r="710" spans="1:22" ht="12.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row>
    <row r="711" spans="1:22" ht="12.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row>
    <row r="712" spans="1:22" ht="12.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row>
    <row r="713" spans="1:22" ht="12.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row>
    <row r="714" spans="1:22" ht="12.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row>
    <row r="715" spans="1:22" ht="12.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row>
    <row r="716" spans="1:22" ht="12.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row>
    <row r="717" spans="1:22" ht="12.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row>
    <row r="718" spans="1:22" ht="12.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row>
    <row r="719" spans="1:22" ht="12.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row>
    <row r="720" spans="1:22" ht="12.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row>
    <row r="721" spans="1:22" ht="12.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row>
    <row r="722" spans="1:22" ht="12.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row>
    <row r="723" spans="1:22" ht="12.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row>
    <row r="724" spans="1:22" ht="12.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row>
    <row r="725" spans="1:22" ht="12.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row>
    <row r="726" spans="1:22" ht="12.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row>
    <row r="727" spans="1:22" ht="12.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row>
    <row r="728" spans="1:22" ht="12.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row>
    <row r="729" spans="1:22" ht="12.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row>
    <row r="730" spans="1:22" ht="12.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row>
    <row r="731" spans="1:22" ht="12.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row>
    <row r="732" spans="1:22" ht="12.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row>
    <row r="733" spans="1:22" ht="12.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row>
    <row r="734" spans="1:22" ht="12.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row>
    <row r="735" spans="1:22" ht="12.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row>
    <row r="736" spans="1:22" ht="12.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row>
    <row r="737" spans="1:22" ht="12.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row>
    <row r="738" spans="1:22" ht="12.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row>
    <row r="739" spans="1:22" ht="12.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row>
    <row r="740" spans="1:22" ht="12.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row>
    <row r="741" spans="1:22" ht="12.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row>
    <row r="742" spans="1:22" ht="12.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row>
    <row r="743" spans="1:22" ht="12.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row>
    <row r="744" spans="1:22" ht="12.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row>
    <row r="745" spans="1:22" ht="12.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row>
    <row r="746" spans="1:22" ht="12.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row>
    <row r="747" spans="1:22" ht="12.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row>
    <row r="748" spans="1:22" ht="12.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row>
    <row r="749" spans="1:22" ht="12.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row>
    <row r="750" spans="1:22" ht="12.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row>
    <row r="751" spans="1:22" ht="12.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row>
    <row r="752" spans="1:22" ht="12.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row>
    <row r="753" spans="1:22" ht="12.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row>
    <row r="754" spans="1:22" ht="12.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row>
    <row r="755" spans="1:22" ht="12.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row>
    <row r="756" spans="1:22" ht="12.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row>
    <row r="757" spans="1:22" ht="12.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row>
    <row r="758" spans="1:22" ht="12.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row>
    <row r="759" spans="1:22" ht="12.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row>
    <row r="760" spans="1:22" ht="12.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row>
    <row r="761" spans="1:22" ht="12.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row>
    <row r="762" spans="1:22" ht="12.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row>
    <row r="763" spans="1:22" ht="12.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row>
    <row r="764" spans="1:22" ht="12.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row>
    <row r="765" spans="1:22" ht="12.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row>
    <row r="766" spans="1:22" ht="12.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row>
    <row r="767" spans="1:22" ht="12.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row>
    <row r="768" spans="1:22" ht="12.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row>
    <row r="769" spans="1:22" ht="12.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row>
    <row r="770" spans="1:22" ht="12.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row>
    <row r="771" spans="1:22" ht="12.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row>
    <row r="772" spans="1:22" ht="12.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row>
    <row r="773" spans="1:22" ht="12.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row>
    <row r="774" spans="1:22" ht="12.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row>
    <row r="775" spans="1:22" ht="12.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row>
    <row r="776" spans="1:22" ht="12.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row>
    <row r="777" spans="1:22" ht="12.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row>
    <row r="778" spans="1:22" ht="12.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row>
    <row r="779" spans="1:22" ht="12.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row>
    <row r="780" spans="1:22" ht="12.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row>
    <row r="781" spans="1:22" ht="12.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row>
    <row r="782" spans="1:22" ht="12.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row>
    <row r="783" spans="1:22" ht="12.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row>
    <row r="784" spans="1:22" ht="12.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row>
    <row r="785" spans="1:22" ht="12.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row>
    <row r="786" spans="1:22" ht="12.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row>
    <row r="787" spans="1:22" ht="12.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row>
    <row r="788" spans="1:22" ht="12.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row>
    <row r="789" spans="1:22" ht="12.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row>
    <row r="790" spans="1:22" ht="12.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row>
    <row r="791" spans="1:22" ht="12.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row>
    <row r="792" spans="1:22" ht="12.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row>
    <row r="793" spans="1:22" ht="12.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row>
    <row r="794" spans="1:22" ht="12.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row>
    <row r="795" spans="1:22" ht="12.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row>
    <row r="796" spans="1:22" ht="12.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row>
    <row r="797" spans="1:22" ht="12.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row>
    <row r="798" spans="1:22" ht="12.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row>
    <row r="799" spans="1:22" ht="12.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row>
    <row r="800" spans="1:22" ht="12.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row>
    <row r="801" spans="1:22" ht="12.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row>
    <row r="802" spans="1:22" ht="12.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row>
    <row r="803" spans="1:22" ht="12.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row>
    <row r="804" spans="1:22" ht="12.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row>
    <row r="805" spans="1:22" ht="12.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row>
    <row r="806" spans="1:22" ht="12.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row>
    <row r="807" spans="1:22" ht="12.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row>
    <row r="808" spans="1:22" ht="12.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row>
    <row r="809" spans="1:22" ht="12.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row>
    <row r="810" spans="1:22" ht="12.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row>
    <row r="811" spans="1:22" ht="12.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row>
    <row r="812" spans="1:22" ht="12.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row>
    <row r="813" spans="1:22" ht="12.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row>
    <row r="814" spans="1:22" ht="12.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row>
    <row r="815" spans="1:22" ht="12.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row>
    <row r="816" spans="1:22" ht="12.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row>
    <row r="817" spans="1:22" ht="12.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row>
    <row r="818" spans="1:22" ht="12.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row>
    <row r="819" spans="1:22" ht="12.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row>
    <row r="820" spans="1:22" ht="12.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row>
    <row r="821" spans="1:22" ht="12.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row>
    <row r="822" spans="1:22" ht="12.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row>
    <row r="823" spans="1:22" ht="12.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row>
    <row r="824" spans="1:22" ht="12.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row>
    <row r="825" spans="1:22" ht="12.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row>
    <row r="826" spans="1:22" ht="12.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row>
    <row r="827" spans="1:22" ht="12.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row>
    <row r="828" spans="1:22" ht="12.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row>
    <row r="829" spans="1:22" ht="12.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row>
    <row r="830" spans="1:22" ht="12.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row>
    <row r="831" spans="1:22" ht="12.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row>
    <row r="832" spans="1:22" ht="12.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row>
    <row r="833" spans="1:22" ht="12.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row>
    <row r="834" spans="1:22" ht="12.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row>
    <row r="835" spans="1:22" ht="12.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row>
    <row r="836" spans="1:22" ht="12.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row>
    <row r="837" spans="1:22" ht="12.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row>
    <row r="838" spans="1:22" ht="12.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row>
    <row r="839" spans="1:22" ht="12.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row>
    <row r="840" spans="1:22" ht="12.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row>
    <row r="841" spans="1:22" ht="12.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row>
    <row r="842" spans="1:22" ht="12.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row>
    <row r="843" spans="1:22" ht="12.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row>
    <row r="844" spans="1:22" ht="12.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row>
    <row r="845" spans="1:22" ht="12.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row>
    <row r="846" spans="1:22" ht="12.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row>
    <row r="847" spans="1:22" ht="12.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row>
    <row r="848" spans="1:22" ht="12.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row>
    <row r="849" spans="1:22" ht="12.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row>
    <row r="850" spans="1:22" ht="12.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row>
    <row r="851" spans="1:22" ht="12.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row>
    <row r="852" spans="1:22" ht="12.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row>
    <row r="853" spans="1:22" ht="12.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row>
    <row r="854" spans="1:22" ht="12.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row>
    <row r="855" spans="1:22" ht="12.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row>
    <row r="856" spans="1:22" ht="12.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row>
    <row r="857" spans="1:22" ht="12.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row>
    <row r="858" spans="1:22" ht="12.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row>
    <row r="859" spans="1:22" ht="12.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row>
    <row r="860" spans="1:22" ht="12.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row>
    <row r="861" spans="1:22" ht="12.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row>
    <row r="862" spans="1:22" ht="12.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row>
    <row r="863" spans="1:22" ht="12.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row>
    <row r="864" spans="1:22" ht="12.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row>
    <row r="865" spans="1:22" ht="12.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row>
    <row r="866" spans="1:22" ht="12.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row>
    <row r="867" spans="1:22" ht="12.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row>
    <row r="868" spans="1:22" ht="12.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row>
    <row r="869" spans="1:22" ht="12.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row>
    <row r="870" spans="1:22" ht="12.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row>
    <row r="871" spans="1:22" ht="12.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row>
    <row r="872" spans="1:22" ht="12.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row>
    <row r="873" spans="1:22" ht="12.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row>
    <row r="874" spans="1:22" ht="12.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row>
    <row r="875" spans="1:22" ht="12.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row>
    <row r="876" spans="1:22" ht="12.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row>
    <row r="877" spans="1:22" ht="12.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row>
    <row r="878" spans="1:22" ht="12.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row>
    <row r="879" spans="1:22" ht="12.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row>
    <row r="880" spans="1:22" ht="12.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row>
    <row r="881" spans="1:22" ht="12.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row>
    <row r="882" spans="1:22" ht="12.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row>
    <row r="883" spans="1:22" ht="12.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row>
    <row r="884" spans="1:22" ht="12.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row>
    <row r="885" spans="1:22" ht="12.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row>
    <row r="886" spans="1:22" ht="12.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row>
    <row r="887" spans="1:22" ht="12.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row>
    <row r="888" spans="1:22" ht="12.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row>
    <row r="889" spans="1:22" ht="12.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row>
    <row r="890" spans="1:22" ht="12.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row>
    <row r="891" spans="1:22" ht="12.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row>
    <row r="892" spans="1:22" ht="12.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row>
    <row r="893" spans="1:22" ht="12.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row>
    <row r="894" spans="1:22" ht="12.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row>
    <row r="895" spans="1:22" ht="12.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row>
    <row r="896" spans="1:22" ht="12.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row>
    <row r="897" spans="1:22" ht="12.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row>
    <row r="898" spans="1:22" ht="12.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row>
    <row r="899" spans="1:22" ht="12.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row>
    <row r="900" spans="1:22" ht="12.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row>
    <row r="901" spans="1:22" ht="12.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row>
    <row r="902" spans="1:22" ht="12.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row>
    <row r="903" spans="1:22" ht="12.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row>
    <row r="904" spans="1:22" ht="12.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row>
    <row r="905" spans="1:22" ht="12.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row>
    <row r="906" spans="1:22" ht="12.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row>
    <row r="907" spans="1:22" ht="12.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row>
    <row r="908" spans="1:22" ht="12.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row>
    <row r="909" spans="1:22" ht="12.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row>
    <row r="910" spans="1:22" ht="12.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row>
    <row r="911" spans="1:22" ht="12.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row>
    <row r="912" spans="1:22" ht="12.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row>
    <row r="913" spans="1:22" ht="12.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row>
    <row r="914" spans="1:22" ht="12.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row>
    <row r="915" spans="1:22" ht="12.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row>
    <row r="916" spans="1:22" ht="12.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row>
    <row r="917" spans="1:22" ht="12.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row>
    <row r="918" spans="1:22" ht="12.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row>
    <row r="919" spans="1:22" ht="12.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row>
    <row r="920" spans="1:22" ht="12.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row>
    <row r="921" spans="1:22" ht="12.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row>
    <row r="922" spans="1:22" ht="12.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row>
    <row r="923" spans="1:22" ht="12.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row>
    <row r="924" spans="1:22" ht="12.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row>
    <row r="925" spans="1:22" ht="12.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row>
    <row r="926" spans="1:22" ht="12.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row>
    <row r="927" spans="1:22" ht="12.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row>
    <row r="928" spans="1:22" ht="12.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row>
    <row r="929" spans="1:22" ht="12.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row>
    <row r="930" spans="1:22" ht="12.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row>
    <row r="931" spans="1:22" ht="12.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row>
    <row r="932" spans="1:22" ht="12.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row>
    <row r="933" spans="1:22" ht="12.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row>
    <row r="934" spans="1:22" ht="12.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row>
    <row r="935" spans="1:22" ht="12.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row>
    <row r="936" spans="1:22" ht="12.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row>
    <row r="937" spans="1:22" ht="12.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row>
    <row r="938" spans="1:22" ht="12.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row>
    <row r="939" spans="1:22" ht="12.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row>
    <row r="940" spans="1:22" ht="12.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row>
    <row r="941" spans="1:22" ht="12.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row>
    <row r="942" spans="1:22" ht="12.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row>
    <row r="943" spans="1:22" ht="12.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row>
    <row r="944" spans="1:22" ht="12.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row>
    <row r="945" spans="1:22" ht="12.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row>
    <row r="946" spans="1:22" ht="12.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row>
    <row r="947" spans="1:22" ht="12.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row>
    <row r="948" spans="1:22" ht="12.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row>
    <row r="949" spans="1:22" ht="12.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row>
    <row r="950" spans="1:22" ht="12.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row>
    <row r="951" spans="1:22" ht="12.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row>
    <row r="952" spans="1:22" ht="12.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row>
    <row r="953" spans="1:22" ht="12.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row>
    <row r="954" spans="1:22" ht="12.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row>
    <row r="955" spans="1:22" ht="12.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row>
    <row r="956" spans="1:22" ht="12.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row>
    <row r="957" spans="1:22" ht="12.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row>
    <row r="958" spans="1:22" ht="12.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row>
    <row r="959" spans="1:22" ht="12.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row>
    <row r="960" spans="1:22" ht="12.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row>
    <row r="961" spans="1:22" ht="12.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row>
    <row r="962" spans="1:22" ht="12.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row>
    <row r="963" spans="1:22" ht="12.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row>
    <row r="964" spans="1:22" ht="12.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row>
    <row r="965" spans="1:22" ht="12.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row>
    <row r="966" spans="1:22" ht="12.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row>
    <row r="967" spans="1:22" ht="12.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row>
    <row r="968" spans="1:22" ht="12.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row>
    <row r="969" spans="1:22" ht="12.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row>
    <row r="970" spans="1:22" ht="12.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row>
    <row r="971" spans="1:22" ht="12.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row>
    <row r="972" spans="1:22" ht="12.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row>
    <row r="973" spans="1:22" ht="12.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row>
    <row r="974" spans="1:22" ht="12.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row>
    <row r="975" spans="1:22" ht="12.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row>
    <row r="976" spans="1:22" ht="12.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row>
    <row r="977" spans="1:22" ht="12.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row>
    <row r="978" spans="1:22" ht="12.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row>
    <row r="979" spans="1:22" ht="12.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row>
    <row r="980" spans="1:22" ht="12.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row>
    <row r="981" spans="1:22" ht="12.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row>
    <row r="982" spans="1:22" ht="12.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row>
    <row r="983" spans="1:22" ht="12.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row>
    <row r="984" spans="1:22" ht="12.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row>
    <row r="985" spans="1:22" ht="12.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row>
    <row r="986" spans="1:22" ht="12.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row>
    <row r="987" spans="1:22" ht="12.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row>
    <row r="988" spans="1:22" ht="12.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row>
    <row r="989" spans="1:22" ht="12.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row>
    <row r="990" spans="1:22" ht="12.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row>
    <row r="991" spans="1:22" ht="12.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row>
    <row r="992" spans="1:22" ht="12.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row>
    <row r="993" spans="1:22" ht="12.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row>
    <row r="994" spans="1:22" ht="12.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row>
    <row r="995" spans="1:22" ht="12.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row>
    <row r="996" spans="1:22" ht="12.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row>
    <row r="997" spans="1:22" ht="12.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row>
    <row r="998" spans="1:22" ht="12.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row>
    <row r="999" spans="1:22" ht="12.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row>
    <row r="1000" spans="1:22" ht="12.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row>
    <row r="1001" spans="1:22" ht="12.75" customHeight="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row>
    <row r="1002" spans="1:22" ht="12.75" customHeight="1">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row>
    <row r="1003" spans="1:22" ht="12.75" customHeight="1">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row>
    <row r="1004" spans="1:22" ht="12.75" customHeight="1">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row>
    <row r="1005" spans="1:22" ht="12.75" customHeight="1">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row>
    <row r="1006" spans="1:22" ht="12.75" customHeight="1">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row>
    <row r="1007" spans="1:22" ht="12.75" customHeight="1">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row>
    <row r="1008" spans="1:22" ht="12.75" customHeight="1">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row>
    <row r="1009" spans="1:22" ht="12.75" customHeight="1">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row>
  </sheetData>
  <mergeCells count="13">
    <mergeCell ref="A1:E1"/>
    <mergeCell ref="A2:K2"/>
    <mergeCell ref="A4:J4"/>
    <mergeCell ref="A6:XFD6"/>
    <mergeCell ref="A66:J66"/>
    <mergeCell ref="A67:J67"/>
    <mergeCell ref="A68:J68"/>
    <mergeCell ref="A69:J69"/>
    <mergeCell ref="A26:K26"/>
    <mergeCell ref="A28:XFD28"/>
    <mergeCell ref="A46:J46"/>
    <mergeCell ref="A47:J47"/>
    <mergeCell ref="A48:J48"/>
  </mergeCells>
  <conditionalFormatting sqref="C71:N86">
    <cfRule type="cellIs" dxfId="0" priority="1" operator="greaterThan">
      <formula>5</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topLeftCell="A25" zoomScale="120" zoomScaleNormal="120" workbookViewId="0">
      <selection activeCell="A54" sqref="A54:N54"/>
    </sheetView>
  </sheetViews>
  <sheetFormatPr defaultColWidth="14.42578125" defaultRowHeight="15" customHeight="1"/>
  <cols>
    <col min="1" max="1" width="43.28515625" style="55" customWidth="1"/>
    <col min="2" max="2" width="15.42578125" style="55" customWidth="1"/>
    <col min="3" max="3" width="14.42578125" style="55" customWidth="1"/>
    <col min="4" max="7" width="13.42578125" style="55" customWidth="1"/>
    <col min="8" max="8" width="13.7109375" style="55" bestFit="1" customWidth="1"/>
    <col min="9" max="9" width="14.42578125" style="55" bestFit="1" customWidth="1"/>
    <col min="10" max="14" width="13.42578125" style="55" customWidth="1"/>
    <col min="15" max="26" width="8.7109375" style="55" customWidth="1"/>
    <col min="27" max="16384" width="14.42578125" style="55"/>
  </cols>
  <sheetData>
    <row r="1" spans="1:26" s="67" customFormat="1" ht="27.95" customHeight="1">
      <c r="A1" s="275" t="s">
        <v>115</v>
      </c>
      <c r="B1" s="275"/>
      <c r="C1" s="275"/>
      <c r="D1" s="275"/>
      <c r="E1" s="275"/>
      <c r="F1" s="275"/>
      <c r="G1" s="275"/>
      <c r="H1" s="275"/>
      <c r="I1" s="275"/>
      <c r="J1" s="275"/>
      <c r="K1" s="275"/>
    </row>
    <row r="2" spans="1:26" s="67" customFormat="1" ht="36.950000000000003" customHeight="1">
      <c r="A2" s="275"/>
      <c r="B2" s="275"/>
      <c r="C2" s="275"/>
      <c r="D2" s="275"/>
      <c r="E2" s="275"/>
      <c r="F2" s="275"/>
      <c r="G2" s="275"/>
      <c r="H2" s="275"/>
      <c r="I2" s="275"/>
      <c r="J2" s="275"/>
      <c r="K2" s="275"/>
    </row>
    <row r="3" spans="1:26" s="118" customFormat="1" ht="13.5" customHeight="1">
      <c r="A3" s="91" t="s">
        <v>116</v>
      </c>
      <c r="B3" s="91"/>
      <c r="C3" s="157"/>
      <c r="D3" s="157"/>
      <c r="E3" s="157"/>
      <c r="F3" s="157"/>
      <c r="G3" s="89"/>
      <c r="H3" s="89"/>
      <c r="I3" s="89"/>
      <c r="J3" s="89"/>
      <c r="K3" s="89"/>
      <c r="L3" s="89"/>
      <c r="M3" s="89"/>
      <c r="N3" s="89"/>
      <c r="O3" s="89"/>
      <c r="P3" s="89"/>
      <c r="Q3" s="89"/>
      <c r="R3" s="89"/>
      <c r="S3" s="89"/>
      <c r="T3" s="89"/>
      <c r="U3" s="89"/>
      <c r="V3" s="89"/>
      <c r="W3" s="89"/>
      <c r="X3" s="89"/>
      <c r="Y3" s="89"/>
      <c r="Z3" s="89"/>
    </row>
    <row r="4" spans="1:26" s="118" customFormat="1" ht="13.5" customHeight="1">
      <c r="A4" s="89" t="s">
        <v>117</v>
      </c>
      <c r="B4" s="89"/>
      <c r="C4" s="157"/>
      <c r="D4" s="157"/>
      <c r="E4" s="157"/>
      <c r="F4" s="157"/>
      <c r="G4" s="89"/>
      <c r="H4" s="89"/>
      <c r="I4" s="89"/>
      <c r="J4" s="89"/>
      <c r="K4" s="89"/>
      <c r="L4" s="89"/>
      <c r="M4" s="89"/>
      <c r="N4" s="89"/>
      <c r="O4" s="89"/>
      <c r="P4" s="89"/>
      <c r="Q4" s="89"/>
      <c r="R4" s="89"/>
      <c r="S4" s="89"/>
      <c r="T4" s="89"/>
      <c r="U4" s="89"/>
      <c r="V4" s="89"/>
      <c r="W4" s="89"/>
      <c r="X4" s="89"/>
      <c r="Y4" s="89"/>
      <c r="Z4" s="89"/>
    </row>
    <row r="5" spans="1:26" s="67" customFormat="1" ht="41.45" customHeight="1">
      <c r="A5" s="283" t="s">
        <v>118</v>
      </c>
      <c r="B5" s="284"/>
      <c r="C5" s="284"/>
      <c r="D5" s="284"/>
      <c r="E5" s="284"/>
      <c r="F5" s="284"/>
      <c r="G5" s="284"/>
      <c r="H5" s="284"/>
      <c r="I5" s="284"/>
      <c r="J5" s="284"/>
      <c r="K5" s="284"/>
      <c r="L5" s="284"/>
      <c r="M5" s="66"/>
      <c r="N5" s="66"/>
      <c r="O5" s="66"/>
      <c r="P5" s="66"/>
      <c r="Q5" s="66"/>
      <c r="R5" s="66"/>
      <c r="S5" s="66"/>
      <c r="T5" s="66"/>
      <c r="U5" s="66"/>
      <c r="V5" s="66"/>
      <c r="W5" s="66"/>
      <c r="X5" s="66"/>
      <c r="Y5" s="66"/>
      <c r="Z5" s="66"/>
    </row>
    <row r="6" spans="1:26" s="118" customFormat="1" ht="13.5" customHeight="1">
      <c r="A6" s="91" t="s">
        <v>119</v>
      </c>
      <c r="B6" s="91"/>
      <c r="C6" s="157"/>
      <c r="D6" s="157"/>
      <c r="E6" s="157"/>
      <c r="F6" s="157"/>
      <c r="G6" s="89"/>
      <c r="H6" s="89"/>
      <c r="I6" s="89"/>
      <c r="J6" s="89"/>
      <c r="K6" s="89"/>
      <c r="L6" s="89"/>
      <c r="M6" s="89"/>
      <c r="N6" s="89"/>
      <c r="O6" s="89"/>
      <c r="P6" s="89"/>
      <c r="Q6" s="89"/>
      <c r="R6" s="89"/>
      <c r="S6" s="89"/>
      <c r="T6" s="89"/>
      <c r="U6" s="89"/>
      <c r="V6" s="89"/>
      <c r="W6" s="89"/>
      <c r="X6" s="89"/>
      <c r="Y6" s="89"/>
      <c r="Z6" s="89"/>
    </row>
    <row r="7" spans="1:26" s="108" customFormat="1" ht="13.5" customHeight="1">
      <c r="A7" s="192" t="s">
        <v>120</v>
      </c>
      <c r="B7" s="192" t="s">
        <v>121</v>
      </c>
      <c r="C7" s="193" t="s">
        <v>43</v>
      </c>
      <c r="D7" s="193" t="s">
        <v>44</v>
      </c>
      <c r="E7" s="193" t="s">
        <v>45</v>
      </c>
      <c r="F7" s="193" t="s">
        <v>46</v>
      </c>
      <c r="G7" s="193" t="s">
        <v>47</v>
      </c>
      <c r="H7" s="193" t="s">
        <v>48</v>
      </c>
      <c r="I7" s="193" t="s">
        <v>49</v>
      </c>
      <c r="J7" s="193" t="s">
        <v>50</v>
      </c>
      <c r="K7" s="193" t="s">
        <v>51</v>
      </c>
      <c r="L7" s="193" t="s">
        <v>52</v>
      </c>
      <c r="M7" s="193" t="s">
        <v>53</v>
      </c>
      <c r="N7" s="193" t="s">
        <v>54</v>
      </c>
      <c r="O7" s="178"/>
      <c r="P7" s="178"/>
      <c r="Q7" s="178"/>
      <c r="R7" s="178"/>
      <c r="S7" s="178"/>
      <c r="T7" s="178"/>
      <c r="U7" s="178"/>
      <c r="V7" s="178"/>
      <c r="W7" s="178"/>
      <c r="X7" s="178"/>
      <c r="Y7" s="178"/>
      <c r="Z7" s="178"/>
    </row>
    <row r="8" spans="1:26" s="108" customFormat="1" ht="13.5" customHeight="1">
      <c r="A8" s="190" t="s">
        <v>111</v>
      </c>
      <c r="B8" s="190" t="s">
        <v>122</v>
      </c>
      <c r="C8" s="191">
        <f>SUMIFS('Variance Analysis'!C$30:C$33,'Variance Analysis'!$B$30:$B$33,"Overheads")</f>
        <v>3355241.0299999896</v>
      </c>
      <c r="D8" s="191">
        <f>SUMIFS('Variance Analysis'!D$30:D$33,'Variance Analysis'!$B$30:$B$33,"Overheads")</f>
        <v>4635971.09</v>
      </c>
      <c r="E8" s="191">
        <f>SUMIFS('Variance Analysis'!E$30:E$33,'Variance Analysis'!$B$30:$B$33,"Overheads")</f>
        <v>3629534.96999999</v>
      </c>
      <c r="F8" s="191">
        <f>SUMIFS('Variance Analysis'!F$30:F$33,'Variance Analysis'!$B$30:$B$33,"Overheads")</f>
        <v>3445023.51</v>
      </c>
      <c r="G8" s="191">
        <f>SUMIFS('Variance Analysis'!G$30:G$33,'Variance Analysis'!$B$30:$B$33,"Overheads")</f>
        <v>3537886.1</v>
      </c>
      <c r="H8" s="191">
        <f>SUMIFS('Variance Analysis'!H$30:H$33,'Variance Analysis'!$B$30:$B$33,"Overheads")</f>
        <v>3402717.4</v>
      </c>
      <c r="I8" s="191">
        <f>SUMIFS('Variance Analysis'!I$30:I$33,'Variance Analysis'!$B$30:$B$33,"Overheads")</f>
        <v>4274662.879999999</v>
      </c>
      <c r="J8" s="191">
        <f>SUMIFS('Variance Analysis'!J$30:J$33,'Variance Analysis'!$B$30:$B$33,"Overheads")</f>
        <v>3598813.38</v>
      </c>
      <c r="K8" s="191">
        <f>SUMIFS('Variance Analysis'!K$30:K$33,'Variance Analysis'!$B$30:$B$33,"Overheads")</f>
        <v>3590616.16</v>
      </c>
      <c r="L8" s="191">
        <f>SUMIFS('Variance Analysis'!L$30:L$33,'Variance Analysis'!$B$30:$B$33,"Overheads")</f>
        <v>3598415.73</v>
      </c>
      <c r="M8" s="191">
        <f>SUMIFS('Variance Analysis'!M$30:M$33,'Variance Analysis'!$B$30:$B$33,"Overheads")</f>
        <v>3821108.75</v>
      </c>
      <c r="N8" s="191">
        <f>SUMIFS('Variance Analysis'!N$30:N$33,'Variance Analysis'!$B$30:$B$33,"Overheads")</f>
        <v>4356345.83</v>
      </c>
      <c r="O8" s="178"/>
      <c r="P8" s="178"/>
      <c r="Q8" s="178"/>
      <c r="R8" s="178"/>
      <c r="S8" s="178"/>
      <c r="T8" s="178"/>
      <c r="U8" s="178"/>
      <c r="V8" s="178"/>
      <c r="W8" s="178"/>
      <c r="X8" s="178"/>
      <c r="Y8" s="178"/>
      <c r="Z8" s="178"/>
    </row>
    <row r="9" spans="1:26" s="108" customFormat="1" ht="13.5" customHeight="1">
      <c r="A9" s="190" t="s">
        <v>112</v>
      </c>
      <c r="B9" s="190" t="s">
        <v>122</v>
      </c>
      <c r="C9" s="191">
        <f>SUMIFS('Variance Analysis'!C$30:C$33,'Variance Analysis'!$B$30:$B$33,"Production")</f>
        <v>35500.949999999997</v>
      </c>
      <c r="D9" s="191">
        <f>SUMIFS('Variance Analysis'!D$30:D$33,'Variance Analysis'!$B$30:$B$33,"Production")</f>
        <v>24210.95</v>
      </c>
      <c r="E9" s="191">
        <f>SUMIFS('Variance Analysis'!E$30:E$33,'Variance Analysis'!$B$30:$B$33,"Production")</f>
        <v>41241.32</v>
      </c>
      <c r="F9" s="191">
        <f>SUMIFS('Variance Analysis'!F$30:F$33,'Variance Analysis'!$B$30:$B$33,"Production")</f>
        <v>26123</v>
      </c>
      <c r="G9" s="191">
        <f>SUMIFS('Variance Analysis'!G$30:G$33,'Variance Analysis'!$B$30:$B$33,"Production")</f>
        <v>32233</v>
      </c>
      <c r="H9" s="191">
        <f>SUMIFS('Variance Analysis'!H$30:H$33,'Variance Analysis'!$B$30:$B$33,"Production")</f>
        <v>31527</v>
      </c>
      <c r="I9" s="191">
        <f>SUMIFS('Variance Analysis'!I$30:I$33,'Variance Analysis'!$B$30:$B$33,"Production")</f>
        <v>32471</v>
      </c>
      <c r="J9" s="191">
        <f>SUMIFS('Variance Analysis'!J$30:J$33,'Variance Analysis'!$B$30:$B$33,"Production")</f>
        <v>35288</v>
      </c>
      <c r="K9" s="191">
        <f>SUMIFS('Variance Analysis'!K$30:K$33,'Variance Analysis'!$B$30:$B$33,"Production")</f>
        <v>27349</v>
      </c>
      <c r="L9" s="191">
        <f>SUMIFS('Variance Analysis'!L$30:L$33,'Variance Analysis'!$B$30:$B$33,"Production")</f>
        <v>27343</v>
      </c>
      <c r="M9" s="191">
        <f>SUMIFS('Variance Analysis'!M$30:M$33,'Variance Analysis'!$B$30:$B$33,"Production")</f>
        <v>28172</v>
      </c>
      <c r="N9" s="191">
        <f>SUMIFS('Variance Analysis'!N$30:N$33,'Variance Analysis'!$B$30:$B$33,"Production")</f>
        <v>33589</v>
      </c>
      <c r="O9" s="178"/>
      <c r="P9" s="178"/>
      <c r="Q9" s="178"/>
      <c r="R9" s="178"/>
      <c r="S9" s="178"/>
      <c r="T9" s="178"/>
      <c r="U9" s="178"/>
      <c r="V9" s="178"/>
      <c r="W9" s="178"/>
      <c r="X9" s="178"/>
      <c r="Y9" s="178"/>
      <c r="Z9" s="178"/>
    </row>
    <row r="10" spans="1:26" s="108" customFormat="1" ht="13.5" customHeight="1">
      <c r="A10" s="190" t="s">
        <v>113</v>
      </c>
      <c r="B10" s="190" t="s">
        <v>122</v>
      </c>
      <c r="C10" s="191">
        <f>SUMIFS('Variance Analysis'!C$30:C$33,'Variance Analysis'!$B$30:$B$33,"Production Other")</f>
        <v>19203.259999999998</v>
      </c>
      <c r="D10" s="191">
        <f>SUMIFS('Variance Analysis'!D$30:D$33,'Variance Analysis'!$B$30:$B$33,"Production Other")</f>
        <v>31298.22</v>
      </c>
      <c r="E10" s="191">
        <f>SUMIFS('Variance Analysis'!E$30:E$33,'Variance Analysis'!$B$30:$B$33,"Production Other")</f>
        <v>21242.74</v>
      </c>
      <c r="F10" s="191">
        <f>SUMIFS('Variance Analysis'!F$30:F$33,'Variance Analysis'!$B$30:$B$33,"Production Other")</f>
        <v>25800</v>
      </c>
      <c r="G10" s="191">
        <f>SUMIFS('Variance Analysis'!G$30:G$33,'Variance Analysis'!$B$30:$B$33,"Production Other")</f>
        <v>28652</v>
      </c>
      <c r="H10" s="191">
        <f>SUMIFS('Variance Analysis'!H$30:H$33,'Variance Analysis'!$B$30:$B$33,"Production Other")</f>
        <v>31034</v>
      </c>
      <c r="I10" s="191">
        <f>SUMIFS('Variance Analysis'!I$30:I$33,'Variance Analysis'!$B$30:$B$33,"Production Other")</f>
        <v>29518</v>
      </c>
      <c r="J10" s="191">
        <f>SUMIFS('Variance Analysis'!J$30:J$33,'Variance Analysis'!$B$30:$B$33,"Production Other")</f>
        <v>28654</v>
      </c>
      <c r="K10" s="191">
        <f>SUMIFS('Variance Analysis'!K$30:K$33,'Variance Analysis'!$B$30:$B$33,"Production Other")</f>
        <v>21938</v>
      </c>
      <c r="L10" s="191">
        <f>SUMIFS('Variance Analysis'!L$30:L$33,'Variance Analysis'!$B$30:$B$33,"Production Other")</f>
        <v>30933</v>
      </c>
      <c r="M10" s="191">
        <f>SUMIFS('Variance Analysis'!M$30:M$33,'Variance Analysis'!$B$30:$B$33,"Production Other")</f>
        <v>27132</v>
      </c>
      <c r="N10" s="191">
        <f>SUMIFS('Variance Analysis'!N$30:N$33,'Variance Analysis'!$B$30:$B$33,"Production Other")</f>
        <v>29759</v>
      </c>
      <c r="O10" s="178"/>
      <c r="P10" s="178"/>
      <c r="Q10" s="178"/>
      <c r="R10" s="178"/>
      <c r="S10" s="178"/>
      <c r="T10" s="178"/>
      <c r="U10" s="178"/>
      <c r="V10" s="178"/>
      <c r="W10" s="178"/>
      <c r="X10" s="178"/>
      <c r="Y10" s="178"/>
      <c r="Z10" s="178"/>
    </row>
    <row r="11" spans="1:26" s="108" customFormat="1" ht="13.5" customHeight="1" thickBot="1">
      <c r="A11" s="190" t="s">
        <v>55</v>
      </c>
      <c r="B11" s="190" t="s">
        <v>123</v>
      </c>
      <c r="C11" s="202">
        <f>('Water Production Actuals'!B2)*1000</f>
        <v>181933.291</v>
      </c>
      <c r="D11" s="202">
        <f>('Water Production Actuals'!C2)*1000</f>
        <v>187443.943</v>
      </c>
      <c r="E11" s="202">
        <f>('Water Production Actuals'!D2)*1000</f>
        <v>184773.65699999998</v>
      </c>
      <c r="F11" s="202">
        <f>('Water Production Actuals'!E2)*1000</f>
        <v>191541.09299999999</v>
      </c>
      <c r="G11" s="202">
        <f>('Water Production Actuals'!F2)*1000</f>
        <v>98096.062000000005</v>
      </c>
      <c r="H11" s="202">
        <f>('Water Production Actuals'!G2)*1000</f>
        <v>185306.853</v>
      </c>
      <c r="I11" s="202">
        <f>('Water Production Actuals'!H2)*1000</f>
        <v>186901.43900000001</v>
      </c>
      <c r="J11" s="202">
        <f>('Water Production Actuals'!I2)*1000</f>
        <v>158586.76500000001</v>
      </c>
      <c r="K11" s="202">
        <f>('Water Production Actuals'!J2)*1000</f>
        <v>191403.67599999998</v>
      </c>
      <c r="L11" s="202">
        <f>('Water Production Actuals'!K2)*1000</f>
        <v>171057.864</v>
      </c>
      <c r="M11" s="202">
        <f>('Water Production Actuals'!L2)*1000</f>
        <v>169286.99900000001</v>
      </c>
      <c r="N11" s="202">
        <f>('Water Production Actuals'!M2)*1000</f>
        <v>142508.717</v>
      </c>
      <c r="O11" s="178"/>
      <c r="P11" s="178"/>
      <c r="Q11" s="178"/>
      <c r="R11" s="178"/>
      <c r="S11" s="178"/>
      <c r="T11" s="178"/>
      <c r="U11" s="178"/>
      <c r="V11" s="178"/>
      <c r="W11" s="178"/>
      <c r="X11" s="178"/>
      <c r="Y11" s="178"/>
      <c r="Z11" s="178"/>
    </row>
    <row r="12" spans="1:26" ht="13.5" customHeight="1" thickTop="1" thickBot="1">
      <c r="A12" s="50" t="s">
        <v>124</v>
      </c>
      <c r="B12" s="51" t="s">
        <v>125</v>
      </c>
      <c r="C12" s="52">
        <f>SUM($C$8:C10)/SUM($C$11:C11)</f>
        <v>18.742832723231448</v>
      </c>
      <c r="D12" s="52">
        <f>SUM($C$8:D10)/(SUM($C$11:D11))</f>
        <v>21.93266058189171</v>
      </c>
      <c r="E12" s="52">
        <f>SUM($C$8:E10)/(SUM($C$11:E11))</f>
        <v>21.282009505963206</v>
      </c>
      <c r="F12" s="52">
        <f>SUM($C$8:F10)/(SUM($C$11:F11))</f>
        <v>20.504969032897609</v>
      </c>
      <c r="G12" s="52">
        <f>SUM($C$8:G10)/(SUM($C$11:G11))</f>
        <v>22.386145702756234</v>
      </c>
      <c r="H12" s="52">
        <f>SUM($C$8:H10)/(SUM($C$11:H11))</f>
        <v>21.722428671760404</v>
      </c>
      <c r="I12" s="52">
        <f>SUM($C$8:I10)/(SUM($C$11:I11))</f>
        <v>21.949977632251699</v>
      </c>
      <c r="J12" s="52">
        <f>SUM($C$8:J10)/(SUM($C$11:J11))</f>
        <v>22.082220953941096</v>
      </c>
      <c r="K12" s="52">
        <f>SUM($C$8:K10)/(SUM($C$11:K11))</f>
        <v>21.707559358647668</v>
      </c>
      <c r="L12" s="52">
        <f>SUM($C$8:L10)/(SUM($C$11:L11))</f>
        <v>21.675000030497188</v>
      </c>
      <c r="M12" s="52">
        <f>SUM($C$8:M10)/(SUM($C$11:M11))</f>
        <v>21.783646940063736</v>
      </c>
      <c r="N12" s="52">
        <f>SUM($C$8:N10)/(SUM($C$11:N11))</f>
        <v>22.425636564688531</v>
      </c>
      <c r="O12" s="66"/>
      <c r="P12" s="66"/>
      <c r="Q12" s="66"/>
      <c r="R12" s="66"/>
      <c r="S12" s="66"/>
      <c r="T12" s="66"/>
      <c r="U12" s="66"/>
      <c r="V12" s="66"/>
      <c r="W12" s="66"/>
      <c r="X12" s="66"/>
      <c r="Y12" s="66"/>
      <c r="Z12" s="66"/>
    </row>
    <row r="13" spans="1:26" ht="13.5" customHeight="1">
      <c r="A13" s="3"/>
      <c r="B13" s="66"/>
      <c r="C13" s="63"/>
      <c r="D13" s="63"/>
      <c r="E13" s="63"/>
      <c r="F13" s="63"/>
      <c r="G13" s="63"/>
      <c r="H13" s="63"/>
      <c r="I13" s="63"/>
      <c r="J13" s="63"/>
      <c r="K13" s="63"/>
      <c r="L13" s="63"/>
      <c r="M13" s="63"/>
      <c r="N13" s="63"/>
      <c r="O13" s="66"/>
      <c r="P13" s="66"/>
      <c r="Q13" s="66"/>
      <c r="R13" s="66"/>
      <c r="S13" s="66"/>
      <c r="T13" s="66"/>
      <c r="U13" s="66"/>
      <c r="V13" s="66"/>
      <c r="W13" s="66"/>
      <c r="X13" s="66"/>
      <c r="Y13" s="66"/>
      <c r="Z13" s="66"/>
    </row>
    <row r="14" spans="1:26" s="118" customFormat="1" ht="13.5" customHeight="1">
      <c r="A14" s="91" t="s">
        <v>126</v>
      </c>
      <c r="B14" s="91"/>
      <c r="C14" s="157"/>
      <c r="D14" s="157"/>
      <c r="E14" s="157"/>
      <c r="F14" s="157"/>
      <c r="G14" s="89"/>
      <c r="H14" s="89"/>
      <c r="I14" s="89"/>
      <c r="J14" s="89"/>
      <c r="K14" s="89"/>
      <c r="L14" s="89"/>
      <c r="M14" s="89"/>
      <c r="N14" s="89"/>
      <c r="O14" s="89"/>
      <c r="P14" s="89"/>
      <c r="Q14" s="89"/>
      <c r="R14" s="89"/>
      <c r="S14" s="89"/>
      <c r="T14" s="89"/>
      <c r="U14" s="89"/>
      <c r="V14" s="89"/>
      <c r="W14" s="89"/>
      <c r="X14" s="89"/>
      <c r="Y14" s="89"/>
      <c r="Z14" s="89"/>
    </row>
    <row r="15" spans="1:26" s="118" customFormat="1" ht="13.5" customHeight="1">
      <c r="A15" s="91" t="s">
        <v>120</v>
      </c>
      <c r="B15" s="91" t="s">
        <v>121</v>
      </c>
      <c r="C15" s="194" t="s">
        <v>43</v>
      </c>
      <c r="D15" s="194" t="s">
        <v>44</v>
      </c>
      <c r="E15" s="194" t="s">
        <v>45</v>
      </c>
      <c r="F15" s="194" t="s">
        <v>46</v>
      </c>
      <c r="G15" s="194" t="s">
        <v>47</v>
      </c>
      <c r="H15" s="194" t="s">
        <v>48</v>
      </c>
      <c r="I15" s="194" t="s">
        <v>49</v>
      </c>
      <c r="J15" s="194" t="s">
        <v>50</v>
      </c>
      <c r="K15" s="194" t="s">
        <v>51</v>
      </c>
      <c r="L15" s="194" t="s">
        <v>52</v>
      </c>
      <c r="M15" s="194" t="s">
        <v>53</v>
      </c>
      <c r="N15" s="194" t="s">
        <v>54</v>
      </c>
      <c r="O15" s="89"/>
      <c r="P15" s="89"/>
      <c r="Q15" s="89"/>
      <c r="R15" s="89"/>
      <c r="S15" s="89"/>
      <c r="T15" s="89"/>
      <c r="U15" s="89"/>
      <c r="V15" s="89"/>
      <c r="W15" s="89"/>
      <c r="X15" s="89"/>
      <c r="Y15" s="89"/>
      <c r="Z15" s="89"/>
    </row>
    <row r="16" spans="1:26" s="108" customFormat="1" ht="13.5" customHeight="1">
      <c r="A16" s="190" t="s">
        <v>111</v>
      </c>
      <c r="B16" s="190" t="s">
        <v>122</v>
      </c>
      <c r="C16" s="191">
        <f>SUMIFS('Variance Analysis'!C$34:C$37,'Variance Analysis'!$B$34:$B$37,"Overheads")</f>
        <v>11422413.93</v>
      </c>
      <c r="D16" s="191">
        <f>SUMIFS('Variance Analysis'!D$34:D$37,'Variance Analysis'!$B$34:$B$37,"Overheads")</f>
        <v>13760706</v>
      </c>
      <c r="E16" s="191">
        <f>SUMIFS('Variance Analysis'!E$34:E$37,'Variance Analysis'!$B$34:$B$37,"Overheads")</f>
        <v>13907840.720000001</v>
      </c>
      <c r="F16" s="191">
        <f>SUMIFS('Variance Analysis'!F$34:F$37,'Variance Analysis'!$B$34:$B$37,"Overheads")</f>
        <v>18647198.620000001</v>
      </c>
      <c r="G16" s="191">
        <f>SUMIFS('Variance Analysis'!G$34:G$37,'Variance Analysis'!$B$34:$B$37,"Overheads")</f>
        <v>20171698.659999996</v>
      </c>
      <c r="H16" s="191">
        <f>SUMIFS('Variance Analysis'!H$34:H$37,'Variance Analysis'!$B$34:$B$37,"Overheads")</f>
        <v>10312374.780000001</v>
      </c>
      <c r="I16" s="191">
        <f>SUMIFS('Variance Analysis'!I$34:I$37,'Variance Analysis'!$B$34:$B$37,"Overheads")</f>
        <v>9642006.7300000004</v>
      </c>
      <c r="J16" s="191">
        <f>SUMIFS('Variance Analysis'!J$34:J$37,'Variance Analysis'!$B$34:$B$37,"Overheads")</f>
        <v>11352257.67</v>
      </c>
      <c r="K16" s="191">
        <f>SUMIFS('Variance Analysis'!K$34:K$37,'Variance Analysis'!$B$34:$B$37,"Overheads")</f>
        <v>10349340.02</v>
      </c>
      <c r="L16" s="191">
        <f>SUMIFS('Variance Analysis'!L$34:L$37,'Variance Analysis'!$B$34:$B$37,"Overheads")</f>
        <v>11122716.970000001</v>
      </c>
      <c r="M16" s="191">
        <f>SUMIFS('Variance Analysis'!M$34:M$37,'Variance Analysis'!$B$34:$B$37,"Overheads")</f>
        <v>13043106.200000001</v>
      </c>
      <c r="N16" s="191">
        <f>SUMIFS('Variance Analysis'!N$34:N$37,'Variance Analysis'!$B$34:$B$37,"Overheads")</f>
        <v>6755372.5199999996</v>
      </c>
      <c r="O16" s="178"/>
      <c r="P16" s="178"/>
      <c r="Q16" s="178"/>
      <c r="R16" s="178"/>
      <c r="S16" s="178"/>
      <c r="T16" s="178"/>
      <c r="U16" s="178"/>
      <c r="V16" s="178"/>
      <c r="W16" s="178"/>
      <c r="X16" s="178"/>
      <c r="Y16" s="178"/>
      <c r="Z16" s="178"/>
    </row>
    <row r="17" spans="1:26" s="108" customFormat="1" ht="13.5" customHeight="1">
      <c r="A17" s="190" t="s">
        <v>112</v>
      </c>
      <c r="B17" s="190" t="s">
        <v>122</v>
      </c>
      <c r="C17" s="191">
        <f>SUMIFS('Variance Analysis'!C$34:C$37,'Variance Analysis'!$B$34:$B$37,"Production")</f>
        <v>686673.01</v>
      </c>
      <c r="D17" s="191">
        <f>SUMIFS('Variance Analysis'!D$34:D$37,'Variance Analysis'!$B$34:$B$37,"Production")</f>
        <v>867081.49</v>
      </c>
      <c r="E17" s="191">
        <f>SUMIFS('Variance Analysis'!E$34:E$37,'Variance Analysis'!$B$34:$B$37,"Production")</f>
        <v>6727.15</v>
      </c>
      <c r="F17" s="191">
        <f>SUMIFS('Variance Analysis'!F$34:F$37,'Variance Analysis'!$B$34:$B$37,"Production")</f>
        <v>401.530000000006</v>
      </c>
      <c r="G17" s="191">
        <f>SUMIFS('Variance Analysis'!G$34:G$37,'Variance Analysis'!$B$34:$B$37,"Production")</f>
        <v>144797.4</v>
      </c>
      <c r="H17" s="191">
        <f>SUMIFS('Variance Analysis'!H$34:H$37,'Variance Analysis'!$B$34:$B$37,"Production")</f>
        <v>652415.07999999996</v>
      </c>
      <c r="I17" s="191">
        <f>SUMIFS('Variance Analysis'!I$34:I$37,'Variance Analysis'!$B$34:$B$37,"Production")</f>
        <v>27790.66</v>
      </c>
      <c r="J17" s="191">
        <f>SUMIFS('Variance Analysis'!J$34:J$37,'Variance Analysis'!$B$34:$B$37,"Production")</f>
        <v>507467.89</v>
      </c>
      <c r="K17" s="191">
        <f>SUMIFS('Variance Analysis'!K$34:K$37,'Variance Analysis'!$B$34:$B$37,"Production")</f>
        <v>241353.12</v>
      </c>
      <c r="L17" s="191">
        <f>SUMIFS('Variance Analysis'!L$34:L$37,'Variance Analysis'!$B$34:$B$37,"Production")</f>
        <v>95261.1</v>
      </c>
      <c r="M17" s="191">
        <f>SUMIFS('Variance Analysis'!M$34:M$37,'Variance Analysis'!$B$34:$B$37,"Production")</f>
        <v>197723.18</v>
      </c>
      <c r="N17" s="191">
        <f>SUMIFS('Variance Analysis'!N$34:N$37,'Variance Analysis'!$B$34:$B$37,"Production")</f>
        <v>175247.34</v>
      </c>
      <c r="O17" s="178"/>
      <c r="P17" s="178"/>
      <c r="Q17" s="178"/>
      <c r="R17" s="178"/>
      <c r="S17" s="178"/>
      <c r="T17" s="178"/>
      <c r="U17" s="178"/>
      <c r="V17" s="178"/>
      <c r="W17" s="178"/>
      <c r="X17" s="178"/>
      <c r="Y17" s="178"/>
      <c r="Z17" s="178"/>
    </row>
    <row r="18" spans="1:26" s="108" customFormat="1" ht="13.5" customHeight="1">
      <c r="A18" s="190" t="s">
        <v>113</v>
      </c>
      <c r="B18" s="190" t="s">
        <v>122</v>
      </c>
      <c r="C18" s="191">
        <f>SUMIFS('Variance Analysis'!C$34:C$37,'Variance Analysis'!$B$34:$B$37,"Production Other")</f>
        <v>241931.03000000003</v>
      </c>
      <c r="D18" s="191">
        <f>SUMIFS('Variance Analysis'!D$34:D$37,'Variance Analysis'!$B$34:$B$37,"Production Other")</f>
        <v>228177.66</v>
      </c>
      <c r="E18" s="191">
        <f>SUMIFS('Variance Analysis'!E$34:E$37,'Variance Analysis'!$B$34:$B$37,"Production Other")</f>
        <v>362088.43</v>
      </c>
      <c r="F18" s="191">
        <f>SUMIFS('Variance Analysis'!F$34:F$37,'Variance Analysis'!$B$34:$B$37,"Production Other")</f>
        <v>211688.28</v>
      </c>
      <c r="G18" s="191">
        <f>SUMIFS('Variance Analysis'!G$34:G$37,'Variance Analysis'!$B$34:$B$37,"Production Other")</f>
        <v>237346.23</v>
      </c>
      <c r="H18" s="191">
        <f>SUMIFS('Variance Analysis'!H$34:H$37,'Variance Analysis'!$B$34:$B$37,"Production Other")</f>
        <v>293131.57</v>
      </c>
      <c r="I18" s="191">
        <f>SUMIFS('Variance Analysis'!I$34:I$37,'Variance Analysis'!$B$34:$B$37,"Production Other")</f>
        <v>335872.34</v>
      </c>
      <c r="J18" s="191">
        <f>SUMIFS('Variance Analysis'!J$34:J$37,'Variance Analysis'!$B$34:$B$37,"Production Other")</f>
        <v>333612.56</v>
      </c>
      <c r="K18" s="191">
        <f>SUMIFS('Variance Analysis'!K$34:K$37,'Variance Analysis'!$B$34:$B$37,"Production Other")</f>
        <v>288580.33</v>
      </c>
      <c r="L18" s="191">
        <f>SUMIFS('Variance Analysis'!L$34:L$37,'Variance Analysis'!$B$34:$B$37,"Production Other")</f>
        <v>270114.8</v>
      </c>
      <c r="M18" s="191">
        <f>SUMIFS('Variance Analysis'!M$34:M$37,'Variance Analysis'!$B$34:$B$37,"Production Other")</f>
        <v>279543.5</v>
      </c>
      <c r="N18" s="191">
        <f>SUMIFS('Variance Analysis'!N$34:N$37,'Variance Analysis'!$B$34:$B$37,"Production Other")</f>
        <v>423607.52</v>
      </c>
      <c r="O18" s="178"/>
      <c r="P18" s="178"/>
      <c r="Q18" s="178"/>
      <c r="R18" s="178"/>
      <c r="S18" s="178"/>
      <c r="T18" s="178"/>
      <c r="U18" s="178"/>
      <c r="V18" s="178"/>
      <c r="W18" s="178"/>
      <c r="X18" s="178"/>
      <c r="Y18" s="178"/>
      <c r="Z18" s="178"/>
    </row>
    <row r="19" spans="1:26" s="108" customFormat="1" ht="13.5" customHeight="1" thickBot="1">
      <c r="A19" s="190" t="s">
        <v>69</v>
      </c>
      <c r="B19" s="190" t="s">
        <v>123</v>
      </c>
      <c r="C19" s="202">
        <f>('Water Production Actuals'!B3)*1000</f>
        <v>214968.99900000001</v>
      </c>
      <c r="D19" s="202">
        <f>('Water Production Actuals'!C3)*1000</f>
        <v>228199.05100000001</v>
      </c>
      <c r="E19" s="202">
        <f>('Water Production Actuals'!D3)*1000</f>
        <v>216536.467</v>
      </c>
      <c r="F19" s="202">
        <f>('Water Production Actuals'!E3)*1000</f>
        <v>296760.27599999995</v>
      </c>
      <c r="G19" s="202">
        <f>('Water Production Actuals'!F3)*1000</f>
        <v>232052.864</v>
      </c>
      <c r="H19" s="202">
        <f>('Water Production Actuals'!G3)*1000</f>
        <v>250210.16</v>
      </c>
      <c r="I19" s="202">
        <f>('Water Production Actuals'!H3)*1000</f>
        <v>268160.549</v>
      </c>
      <c r="J19" s="202">
        <f>('Water Production Actuals'!I3)*1000</f>
        <v>306884.52399999998</v>
      </c>
      <c r="K19" s="202">
        <f>('Water Production Actuals'!J3)*1000</f>
        <v>367651.00600000005</v>
      </c>
      <c r="L19" s="202">
        <f>('Water Production Actuals'!K3)*1000</f>
        <v>291990.16600000003</v>
      </c>
      <c r="M19" s="202">
        <f>('Water Production Actuals'!L3)*1000</f>
        <v>301185.12999999995</v>
      </c>
      <c r="N19" s="202">
        <f>('Water Production Actuals'!M3)*1000</f>
        <v>299782.89299999998</v>
      </c>
      <c r="O19" s="178"/>
      <c r="P19" s="178"/>
      <c r="Q19" s="178"/>
      <c r="R19" s="178"/>
      <c r="S19" s="178"/>
      <c r="T19" s="178"/>
      <c r="U19" s="178"/>
      <c r="V19" s="178"/>
      <c r="W19" s="178"/>
      <c r="X19" s="178"/>
      <c r="Y19" s="178"/>
      <c r="Z19" s="178"/>
    </row>
    <row r="20" spans="1:26" s="67" customFormat="1" ht="13.5" customHeight="1" thickTop="1" thickBot="1">
      <c r="A20" s="50" t="s">
        <v>124</v>
      </c>
      <c r="B20" s="51" t="s">
        <v>125</v>
      </c>
      <c r="C20" s="52">
        <f>SUM($C$16:C18)/SUM($C$19:C19)</f>
        <v>57.45487966848652</v>
      </c>
      <c r="D20" s="52">
        <f>SUM($C$16:D18)/SUM($C$19:D19)</f>
        <v>61.392023003463358</v>
      </c>
      <c r="E20" s="52">
        <f>SUM($C$16:E18)/SUM($C$19:E19)</f>
        <v>62.882151555739604</v>
      </c>
      <c r="F20" s="52">
        <f>SUM($C$16:F18)/SUM($C$19:F19)</f>
        <v>63.089544217023779</v>
      </c>
      <c r="G20" s="52">
        <f>SUM($C$16:G18)/SUM($C$19:G19)</f>
        <v>68.065265722846576</v>
      </c>
      <c r="H20" s="52">
        <f>SUM($C$16:H18)/SUM($C$19:H19)</f>
        <v>64.052901793585065</v>
      </c>
      <c r="I20" s="52">
        <f>SUM($C$16:I18)/SUM($C$19:I19)</f>
        <v>59.851811831963715</v>
      </c>
      <c r="J20" s="52">
        <f>SUM($C$16:J18)/SUM($C$19:J19)</f>
        <v>56.785797439154138</v>
      </c>
      <c r="K20" s="52">
        <f>SUM($C$16:K18)/SUM($C$19:K19)</f>
        <v>52.587434391814817</v>
      </c>
      <c r="L20" s="52">
        <f>SUM($C$16:L18)/SUM($C$19:L19)</f>
        <v>51.1409989583574</v>
      </c>
      <c r="M20" s="52">
        <f>SUM($C$16:M18)/SUM($C$19:M19)</f>
        <v>50.508128639335695</v>
      </c>
      <c r="N20" s="52">
        <f>SUM($C$16:N18)/SUM($C$19:N19)</f>
        <v>48.12989502414775</v>
      </c>
      <c r="O20" s="66"/>
      <c r="P20" s="66"/>
      <c r="Q20" s="66"/>
      <c r="R20" s="66"/>
      <c r="S20" s="66"/>
      <c r="T20" s="66"/>
      <c r="U20" s="66"/>
      <c r="V20" s="66"/>
      <c r="W20" s="66"/>
      <c r="X20" s="66"/>
      <c r="Y20" s="66"/>
      <c r="Z20" s="66"/>
    </row>
    <row r="21" spans="1:26" ht="13.5" customHeight="1">
      <c r="A21" s="3"/>
      <c r="B21" s="66"/>
      <c r="C21" s="63"/>
      <c r="D21" s="63"/>
      <c r="E21" s="63"/>
      <c r="F21" s="63"/>
      <c r="G21" s="63"/>
      <c r="H21" s="63"/>
      <c r="I21" s="63"/>
      <c r="J21" s="63"/>
      <c r="K21" s="63"/>
      <c r="L21" s="63"/>
      <c r="M21" s="63"/>
      <c r="N21" s="63"/>
      <c r="O21" s="66"/>
      <c r="P21" s="66"/>
      <c r="Q21" s="66"/>
      <c r="R21" s="66"/>
      <c r="S21" s="66"/>
      <c r="T21" s="66"/>
      <c r="U21" s="66"/>
      <c r="V21" s="66"/>
      <c r="W21" s="66"/>
      <c r="X21" s="66"/>
      <c r="Y21" s="66"/>
      <c r="Z21" s="66"/>
    </row>
    <row r="22" spans="1:26" s="118" customFormat="1" ht="13.5" customHeight="1">
      <c r="A22" s="91" t="s">
        <v>127</v>
      </c>
      <c r="B22" s="91"/>
      <c r="C22" s="157"/>
      <c r="D22" s="157"/>
      <c r="E22" s="157"/>
      <c r="F22" s="157"/>
      <c r="G22" s="89"/>
      <c r="H22" s="89"/>
      <c r="I22" s="89"/>
      <c r="J22" s="89"/>
      <c r="K22" s="89"/>
      <c r="L22" s="89"/>
      <c r="M22" s="89"/>
      <c r="N22" s="89"/>
      <c r="O22" s="89"/>
      <c r="P22" s="89"/>
      <c r="Q22" s="89"/>
      <c r="R22" s="89"/>
      <c r="S22" s="89"/>
      <c r="T22" s="89"/>
      <c r="U22" s="89"/>
      <c r="V22" s="89"/>
      <c r="W22" s="89"/>
      <c r="X22" s="89"/>
      <c r="Y22" s="89"/>
      <c r="Z22" s="89"/>
    </row>
    <row r="23" spans="1:26" s="118" customFormat="1" ht="13.5" customHeight="1">
      <c r="A23" s="91" t="s">
        <v>120</v>
      </c>
      <c r="B23" s="91" t="s">
        <v>121</v>
      </c>
      <c r="C23" s="194" t="s">
        <v>43</v>
      </c>
      <c r="D23" s="194" t="s">
        <v>44</v>
      </c>
      <c r="E23" s="194" t="s">
        <v>45</v>
      </c>
      <c r="F23" s="194" t="s">
        <v>46</v>
      </c>
      <c r="G23" s="194" t="s">
        <v>47</v>
      </c>
      <c r="H23" s="194" t="s">
        <v>48</v>
      </c>
      <c r="I23" s="194" t="s">
        <v>49</v>
      </c>
      <c r="J23" s="194" t="s">
        <v>50</v>
      </c>
      <c r="K23" s="194" t="s">
        <v>51</v>
      </c>
      <c r="L23" s="194" t="s">
        <v>52</v>
      </c>
      <c r="M23" s="194" t="s">
        <v>53</v>
      </c>
      <c r="N23" s="194" t="s">
        <v>54</v>
      </c>
      <c r="O23" s="89"/>
      <c r="P23" s="89"/>
      <c r="Q23" s="89"/>
      <c r="R23" s="89"/>
      <c r="S23" s="89"/>
      <c r="T23" s="89"/>
      <c r="U23" s="89"/>
      <c r="V23" s="89"/>
      <c r="W23" s="89"/>
      <c r="X23" s="89"/>
      <c r="Y23" s="89"/>
      <c r="Z23" s="89"/>
    </row>
    <row r="24" spans="1:26" s="108" customFormat="1" ht="13.5" customHeight="1">
      <c r="A24" s="190" t="s">
        <v>111</v>
      </c>
      <c r="B24" s="190" t="s">
        <v>122</v>
      </c>
      <c r="C24" s="191">
        <f>SUMIFS('Variance Analysis'!C$38:C$41,'Variance Analysis'!$B$38:$B$41,"Overheads")</f>
        <v>5155467.82</v>
      </c>
      <c r="D24" s="191">
        <f>SUMIFS('Variance Analysis'!D$38:D$41,'Variance Analysis'!$B$38:$B$41,"Overheads")</f>
        <v>4107219.28</v>
      </c>
      <c r="E24" s="191">
        <f>SUMIFS('Variance Analysis'!E$38:E$41,'Variance Analysis'!$B$38:$B$41,"Overheads")</f>
        <v>5551987.3199999994</v>
      </c>
      <c r="F24" s="191">
        <f>SUMIFS('Variance Analysis'!F$38:F$41,'Variance Analysis'!$B$38:$B$41,"Overheads")</f>
        <v>4670026.4399999995</v>
      </c>
      <c r="G24" s="191">
        <f>SUMIFS('Variance Analysis'!G$38:G$41,'Variance Analysis'!$B$38:$B$41,"Overheads")</f>
        <v>3971268.39</v>
      </c>
      <c r="H24" s="191">
        <f>SUMIFS('Variance Analysis'!H$38:H$41,'Variance Analysis'!$B$38:$B$41,"Overheads")</f>
        <v>2944600.0500000003</v>
      </c>
      <c r="I24" s="191">
        <f>SUMIFS('Variance Analysis'!I$38:I$41,'Variance Analysis'!$B$38:$B$41,"Overheads")</f>
        <v>3143819.16</v>
      </c>
      <c r="J24" s="191">
        <f>SUMIFS('Variance Analysis'!J$38:J$41,'Variance Analysis'!$B$38:$B$41,"Overheads")</f>
        <v>2699686.7399999998</v>
      </c>
      <c r="K24" s="191">
        <f>SUMIFS('Variance Analysis'!K$38:K$41,'Variance Analysis'!$B$38:$B$41,"Overheads")</f>
        <v>3795500.0700000003</v>
      </c>
      <c r="L24" s="191">
        <f>SUMIFS('Variance Analysis'!L$38:L$41,'Variance Analysis'!$B$38:$B$41,"Overheads")</f>
        <v>2066688.56</v>
      </c>
      <c r="M24" s="191">
        <f>SUMIFS('Variance Analysis'!M$38:M$41,'Variance Analysis'!$B$38:$B$41,"Overheads")</f>
        <v>2668702.2799999993</v>
      </c>
      <c r="N24" s="191">
        <f>SUMIFS('Variance Analysis'!N$38:N$41,'Variance Analysis'!$B$38:$B$41,"Overheads")</f>
        <v>4761502.4300000006</v>
      </c>
      <c r="O24" s="178"/>
      <c r="P24" s="178"/>
      <c r="Q24" s="178"/>
      <c r="R24" s="178"/>
      <c r="S24" s="178"/>
      <c r="T24" s="178"/>
      <c r="U24" s="178"/>
      <c r="V24" s="178"/>
      <c r="W24" s="178"/>
      <c r="X24" s="178"/>
      <c r="Y24" s="178"/>
      <c r="Z24" s="178"/>
    </row>
    <row r="25" spans="1:26" s="108" customFormat="1" ht="13.5" customHeight="1">
      <c r="A25" s="190" t="s">
        <v>112</v>
      </c>
      <c r="B25" s="190" t="s">
        <v>122</v>
      </c>
      <c r="C25" s="191">
        <f>SUMIFS('Variance Analysis'!C$38:C$41,'Variance Analysis'!$B$38:$B$41,"Production")</f>
        <v>125993.22</v>
      </c>
      <c r="D25" s="191">
        <f>SUMIFS('Variance Analysis'!D$38:D$41,'Variance Analysis'!$B$38:$B$41,"Production")</f>
        <v>75075.8</v>
      </c>
      <c r="E25" s="191">
        <f>SUMIFS('Variance Analysis'!E$38:E$41,'Variance Analysis'!$B$38:$B$41,"Production")</f>
        <v>44153.440000000002</v>
      </c>
      <c r="F25" s="191">
        <f>SUMIFS('Variance Analysis'!F$38:F$41,'Variance Analysis'!$B$38:$B$41,"Production")</f>
        <v>71345.01999999999</v>
      </c>
      <c r="G25" s="191">
        <f>SUMIFS('Variance Analysis'!G$38:G$41,'Variance Analysis'!$B$38:$B$41,"Production")</f>
        <v>-20479.969999999998</v>
      </c>
      <c r="H25" s="191">
        <f>SUMIFS('Variance Analysis'!H$38:H$41,'Variance Analysis'!$B$38:$B$41,"Production")</f>
        <v>9632.59</v>
      </c>
      <c r="I25" s="191">
        <f>SUMIFS('Variance Analysis'!I$38:I$41,'Variance Analysis'!$B$38:$B$41,"Production")</f>
        <v>476546.05</v>
      </c>
      <c r="J25" s="191">
        <f>SUMIFS('Variance Analysis'!J$38:J$41,'Variance Analysis'!$B$38:$B$41,"Production")</f>
        <v>464219.42</v>
      </c>
      <c r="K25" s="191">
        <f>SUMIFS('Variance Analysis'!K$38:K$41,'Variance Analysis'!$B$38:$B$41,"Production")</f>
        <v>221113.88999999998</v>
      </c>
      <c r="L25" s="191">
        <f>SUMIFS('Variance Analysis'!L$38:L$41,'Variance Analysis'!$B$38:$B$41,"Production")</f>
        <v>224277.79</v>
      </c>
      <c r="M25" s="191">
        <f>SUMIFS('Variance Analysis'!M$38:M$41,'Variance Analysis'!$B$38:$B$41,"Production")</f>
        <v>263709.95</v>
      </c>
      <c r="N25" s="191">
        <f>SUMIFS('Variance Analysis'!N$38:N$41,'Variance Analysis'!$B$38:$B$41,"Production")</f>
        <v>-77601.91</v>
      </c>
      <c r="O25" s="178"/>
      <c r="P25" s="178"/>
      <c r="Q25" s="178"/>
      <c r="R25" s="178"/>
      <c r="S25" s="178"/>
      <c r="T25" s="178"/>
      <c r="U25" s="178"/>
      <c r="V25" s="178"/>
      <c r="W25" s="178"/>
      <c r="X25" s="178"/>
      <c r="Y25" s="178"/>
      <c r="Z25" s="178"/>
    </row>
    <row r="26" spans="1:26" s="108" customFormat="1" ht="13.5" customHeight="1">
      <c r="A26" s="190" t="s">
        <v>113</v>
      </c>
      <c r="B26" s="190" t="s">
        <v>122</v>
      </c>
      <c r="C26" s="191">
        <f>SUMIFS('Variance Analysis'!C$38:C$41,'Variance Analysis'!$B$38:$B$41,"Production Other")</f>
        <v>855.07000000000016</v>
      </c>
      <c r="D26" s="191">
        <f>SUMIFS('Variance Analysis'!D$38:D$41,'Variance Analysis'!$B$38:$B$41,"Production Other")</f>
        <v>8643.11</v>
      </c>
      <c r="E26" s="191">
        <f>SUMIFS('Variance Analysis'!E$38:E$41,'Variance Analysis'!$B$38:$B$41,"Production Other")</f>
        <v>7004.54</v>
      </c>
      <c r="F26" s="191">
        <f>SUMIFS('Variance Analysis'!F$38:F$41,'Variance Analysis'!$B$38:$B$41,"Production Other")</f>
        <v>-4277.2699999999986</v>
      </c>
      <c r="G26" s="191">
        <f>SUMIFS('Variance Analysis'!G$38:G$41,'Variance Analysis'!$B$38:$B$41,"Production Other")</f>
        <v>9314.75</v>
      </c>
      <c r="H26" s="191">
        <f>SUMIFS('Variance Analysis'!H$38:H$41,'Variance Analysis'!$B$38:$B$41,"Production Other")</f>
        <v>8194.59</v>
      </c>
      <c r="I26" s="191">
        <f>SUMIFS('Variance Analysis'!I$38:I$41,'Variance Analysis'!$B$38:$B$41,"Production Other")</f>
        <v>12985.24</v>
      </c>
      <c r="J26" s="191">
        <f>SUMIFS('Variance Analysis'!J$38:J$41,'Variance Analysis'!$B$38:$B$41,"Production Other")</f>
        <v>8327.32</v>
      </c>
      <c r="K26" s="191">
        <f>SUMIFS('Variance Analysis'!K$38:K$41,'Variance Analysis'!$B$38:$B$41,"Production Other")</f>
        <v>12745.36</v>
      </c>
      <c r="L26" s="191">
        <f>SUMIFS('Variance Analysis'!L$38:L$41,'Variance Analysis'!$B$38:$B$41,"Production Other")</f>
        <v>7073.15</v>
      </c>
      <c r="M26" s="191">
        <f>SUMIFS('Variance Analysis'!M$38:M$41,'Variance Analysis'!$B$38:$B$41,"Production Other")</f>
        <v>8678.7800000000007</v>
      </c>
      <c r="N26" s="191">
        <f>SUMIFS('Variance Analysis'!N$38:N$41,'Variance Analysis'!$B$38:$B$41,"Production Other")</f>
        <v>12419.05</v>
      </c>
      <c r="O26" s="178"/>
      <c r="P26" s="178"/>
      <c r="Q26" s="178"/>
      <c r="R26" s="178"/>
      <c r="S26" s="178"/>
      <c r="T26" s="178"/>
      <c r="U26" s="178"/>
      <c r="V26" s="178"/>
      <c r="W26" s="178"/>
      <c r="X26" s="178"/>
      <c r="Y26" s="178"/>
      <c r="Z26" s="178"/>
    </row>
    <row r="27" spans="1:26" s="108" customFormat="1" ht="13.5" customHeight="1" thickBot="1">
      <c r="A27" s="190" t="s">
        <v>84</v>
      </c>
      <c r="B27" s="190" t="s">
        <v>123</v>
      </c>
      <c r="C27" s="202">
        <f>('Water Production Actuals'!B4)*1000</f>
        <v>250241.99099999998</v>
      </c>
      <c r="D27" s="202">
        <f>('Water Production Actuals'!C4)*1000</f>
        <v>206740.70300000001</v>
      </c>
      <c r="E27" s="202">
        <f>('Water Production Actuals'!D4)*1000</f>
        <v>201235.46099999995</v>
      </c>
      <c r="F27" s="202">
        <f>('Water Production Actuals'!E4)*1000</f>
        <v>174369.56599999999</v>
      </c>
      <c r="G27" s="202">
        <f>('Water Production Actuals'!F4)*1000</f>
        <v>204091.05</v>
      </c>
      <c r="H27" s="202">
        <f>('Water Production Actuals'!G4)*1000</f>
        <v>146356.666</v>
      </c>
      <c r="I27" s="202">
        <f>('Water Production Actuals'!H4)*1000</f>
        <v>204202.49700000003</v>
      </c>
      <c r="J27" s="202">
        <f>('Water Production Actuals'!I4)*1000</f>
        <v>217430.19900000002</v>
      </c>
      <c r="K27" s="202">
        <f>('Water Production Actuals'!J4)*1000</f>
        <v>161814.21700000006</v>
      </c>
      <c r="L27" s="202">
        <f>('Water Production Actuals'!K4)*1000</f>
        <v>113441.13599999997</v>
      </c>
      <c r="M27" s="202">
        <f>('Water Production Actuals'!L4)*1000</f>
        <v>115407.36900000001</v>
      </c>
      <c r="N27" s="202">
        <f>('Water Production Actuals'!M4)*1000</f>
        <v>140380.33399999997</v>
      </c>
      <c r="O27" s="178"/>
      <c r="P27" s="178"/>
      <c r="Q27" s="178"/>
      <c r="R27" s="178"/>
      <c r="S27" s="178"/>
      <c r="T27" s="178"/>
      <c r="U27" s="178"/>
      <c r="V27" s="178"/>
      <c r="W27" s="178"/>
      <c r="X27" s="178"/>
      <c r="Y27" s="178"/>
      <c r="Z27" s="178"/>
    </row>
    <row r="28" spans="1:26" s="67" customFormat="1" ht="13.5" customHeight="1" thickTop="1" thickBot="1">
      <c r="A28" s="50" t="s">
        <v>124</v>
      </c>
      <c r="B28" s="51" t="s">
        <v>125</v>
      </c>
      <c r="C28" s="52">
        <f>SUM($C$24:C26)/SUM($C$27:C27)</f>
        <v>21.108831850686485</v>
      </c>
      <c r="D28" s="52">
        <f>SUM($C$24:D26)/SUM($C$27:D27)</f>
        <v>20.730006681609698</v>
      </c>
      <c r="E28" s="52">
        <f>SUM($C$24:E26)/SUM($C$27:E27)</f>
        <v>22.904867459938107</v>
      </c>
      <c r="F28" s="52">
        <f>SUM($C$24:F26)/SUM($C$27:F27)</f>
        <v>23.797484985969422</v>
      </c>
      <c r="G28" s="52">
        <f>SUM($C$24:G26)/SUM($C$27:G27)</f>
        <v>22.932462422344717</v>
      </c>
      <c r="H28" s="52">
        <f>SUM($C$24:H26)/SUM($C$27:H27)</f>
        <v>22.599512536833672</v>
      </c>
      <c r="I28" s="52">
        <f>SUM($C$24:I26)/SUM($C$27:I27)</f>
        <v>21.891972455245735</v>
      </c>
      <c r="J28" s="52">
        <f>SUM($C$24:J26)/SUM($C$27:J27)</f>
        <v>20.902520234693288</v>
      </c>
      <c r="K28" s="52">
        <f>SUM($C$24:K26)/SUM($C$27:K27)</f>
        <v>21.268804321764094</v>
      </c>
      <c r="L28" s="52">
        <f>SUM($C$24:L26)/SUM($C$27:L27)</f>
        <v>21.207781719260886</v>
      </c>
      <c r="M28" s="52">
        <f>SUM($C$24:M26)/SUM($C$27:M27)</f>
        <v>21.45513754910586</v>
      </c>
      <c r="N28" s="52">
        <f>SUM($C$24:N26)/SUM($C$27:N27)</f>
        <v>22.243839787271916</v>
      </c>
      <c r="O28" s="66"/>
      <c r="P28" s="66"/>
      <c r="Q28" s="66"/>
      <c r="R28" s="66"/>
      <c r="S28" s="66"/>
      <c r="T28" s="66"/>
      <c r="U28" s="66"/>
      <c r="V28" s="66"/>
      <c r="W28" s="66"/>
      <c r="X28" s="66"/>
      <c r="Y28" s="66"/>
      <c r="Z28" s="66"/>
    </row>
    <row r="29" spans="1:26" s="67" customFormat="1" ht="13.5" customHeight="1">
      <c r="A29" s="3"/>
      <c r="B29" s="66"/>
      <c r="C29" s="63"/>
      <c r="D29" s="63"/>
      <c r="E29" s="63"/>
      <c r="F29" s="63"/>
      <c r="G29" s="63"/>
      <c r="H29" s="63"/>
      <c r="I29" s="63"/>
      <c r="J29" s="63"/>
      <c r="K29" s="63"/>
      <c r="L29" s="63"/>
      <c r="M29" s="63"/>
      <c r="N29" s="63"/>
      <c r="O29" s="66"/>
      <c r="P29" s="66"/>
      <c r="Q29" s="66"/>
      <c r="R29" s="66"/>
      <c r="S29" s="66"/>
      <c r="T29" s="66"/>
      <c r="U29" s="66"/>
      <c r="V29" s="66"/>
      <c r="W29" s="66"/>
      <c r="X29" s="66"/>
      <c r="Y29" s="66"/>
      <c r="Z29" s="66"/>
    </row>
    <row r="30" spans="1:26" s="118" customFormat="1" ht="13.5" customHeight="1">
      <c r="A30" s="91" t="s">
        <v>128</v>
      </c>
      <c r="B30" s="91"/>
      <c r="C30" s="157"/>
      <c r="D30" s="157"/>
      <c r="E30" s="157"/>
      <c r="F30" s="157"/>
      <c r="G30" s="89"/>
      <c r="H30" s="89"/>
      <c r="I30" s="89"/>
      <c r="J30" s="89"/>
      <c r="K30" s="89"/>
      <c r="L30" s="89"/>
      <c r="M30" s="89"/>
      <c r="N30" s="89"/>
      <c r="O30" s="89"/>
      <c r="P30" s="89"/>
      <c r="Q30" s="89"/>
      <c r="R30" s="89"/>
      <c r="S30" s="89"/>
      <c r="T30" s="89"/>
      <c r="U30" s="89"/>
      <c r="V30" s="89"/>
      <c r="W30" s="89"/>
      <c r="X30" s="89"/>
      <c r="Y30" s="89"/>
      <c r="Z30" s="89"/>
    </row>
    <row r="31" spans="1:26" s="118" customFormat="1" ht="13.5" customHeight="1">
      <c r="A31" s="91" t="s">
        <v>120</v>
      </c>
      <c r="B31" s="91" t="s">
        <v>121</v>
      </c>
      <c r="C31" s="194" t="s">
        <v>43</v>
      </c>
      <c r="D31" s="194" t="s">
        <v>44</v>
      </c>
      <c r="E31" s="194" t="s">
        <v>45</v>
      </c>
      <c r="F31" s="194" t="s">
        <v>46</v>
      </c>
      <c r="G31" s="194" t="s">
        <v>47</v>
      </c>
      <c r="H31" s="194" t="s">
        <v>48</v>
      </c>
      <c r="I31" s="194" t="s">
        <v>49</v>
      </c>
      <c r="J31" s="194" t="s">
        <v>50</v>
      </c>
      <c r="K31" s="194" t="s">
        <v>51</v>
      </c>
      <c r="L31" s="194" t="s">
        <v>52</v>
      </c>
      <c r="M31" s="194" t="s">
        <v>53</v>
      </c>
      <c r="N31" s="194" t="s">
        <v>54</v>
      </c>
      <c r="O31" s="89"/>
      <c r="P31" s="89"/>
      <c r="Q31" s="89"/>
      <c r="R31" s="89"/>
      <c r="S31" s="89"/>
      <c r="T31" s="89"/>
      <c r="U31" s="89"/>
      <c r="V31" s="89"/>
      <c r="W31" s="89"/>
      <c r="X31" s="89"/>
      <c r="Y31" s="89"/>
      <c r="Z31" s="89"/>
    </row>
    <row r="32" spans="1:26" s="108" customFormat="1" ht="13.5" customHeight="1">
      <c r="A32" s="190" t="s">
        <v>111</v>
      </c>
      <c r="B32" s="190" t="s">
        <v>122</v>
      </c>
      <c r="C32" s="191">
        <f>SUMIFS('Variance Analysis'!C$42:C$45,'Variance Analysis'!$B$42:$B$45,"Overheads")</f>
        <v>19933122.77999999</v>
      </c>
      <c r="D32" s="191">
        <f>SUMIFS('Variance Analysis'!D$42:D$45,'Variance Analysis'!$B$42:$B$45,"Overheads")</f>
        <v>22503896.370000001</v>
      </c>
      <c r="E32" s="191">
        <f>SUMIFS('Variance Analysis'!E$42:E$45,'Variance Analysis'!$B$42:$B$45,"Overheads")</f>
        <v>23089363.00999999</v>
      </c>
      <c r="F32" s="191">
        <f>SUMIFS('Variance Analysis'!F$42:F$45,'Variance Analysis'!$B$42:$B$45,"Overheads")</f>
        <v>26762248.57</v>
      </c>
      <c r="G32" s="191">
        <f>SUMIFS('Variance Analysis'!G$42:G$45,'Variance Analysis'!$B$42:$B$45,"Overheads")</f>
        <v>27680853.149999999</v>
      </c>
      <c r="H32" s="191">
        <f>SUMIFS('Variance Analysis'!H$42:H$45,'Variance Analysis'!$B$42:$B$45,"Overheads")</f>
        <v>16659692.230000002</v>
      </c>
      <c r="I32" s="191">
        <f>SUMIFS('Variance Analysis'!I$42:I$45,'Variance Analysis'!$B$42:$B$45,"Overheads")</f>
        <v>17060488.77</v>
      </c>
      <c r="J32" s="191">
        <f>SUMIFS('Variance Analysis'!J$42:J$45,'Variance Analysis'!$B$42:$B$45,"Overheads")</f>
        <v>17650757.789999999</v>
      </c>
      <c r="K32" s="191">
        <f>SUMIFS('Variance Analysis'!K$42:K$45,'Variance Analysis'!$B$42:$B$45,"Overheads")</f>
        <v>17735456.25</v>
      </c>
      <c r="L32" s="191">
        <f>SUMIFS('Variance Analysis'!L$42:L$45,'Variance Analysis'!$B$42:$B$45,"Overheads")</f>
        <v>16787821.260000002</v>
      </c>
      <c r="M32" s="191">
        <f>SUMIFS('Variance Analysis'!M$42:M$45,'Variance Analysis'!$B$42:$B$45,"Overheads")</f>
        <v>19532917.230000004</v>
      </c>
      <c r="N32" s="191">
        <f>SUMIFS('Variance Analysis'!N$42:N$45,'Variance Analysis'!$B$42:$B$45,"Overheads")</f>
        <v>15873220.780000001</v>
      </c>
      <c r="O32" s="178"/>
      <c r="P32" s="178"/>
      <c r="Q32" s="178"/>
      <c r="R32" s="178"/>
      <c r="S32" s="178"/>
      <c r="T32" s="178"/>
      <c r="U32" s="178"/>
      <c r="V32" s="178"/>
      <c r="W32" s="178"/>
      <c r="X32" s="178"/>
      <c r="Y32" s="178"/>
      <c r="Z32" s="178"/>
    </row>
    <row r="33" spans="1:26" s="108" customFormat="1" ht="13.5" customHeight="1">
      <c r="A33" s="190" t="s">
        <v>112</v>
      </c>
      <c r="B33" s="190" t="s">
        <v>122</v>
      </c>
      <c r="C33" s="191">
        <f>SUMIFS('Variance Analysis'!C$42:C$45,'Variance Analysis'!$B$42:$B$45,"Production")</f>
        <v>848167.17999999993</v>
      </c>
      <c r="D33" s="191">
        <f>SUMIFS('Variance Analysis'!D$42:D$45,'Variance Analysis'!$B$42:$B$45,"Production")</f>
        <v>966368.24</v>
      </c>
      <c r="E33" s="191">
        <f>SUMIFS('Variance Analysis'!E$42:E$45,'Variance Analysis'!$B$42:$B$45,"Production")</f>
        <v>92121.91</v>
      </c>
      <c r="F33" s="191">
        <f>SUMIFS('Variance Analysis'!F$42:F$45,'Variance Analysis'!$B$42:$B$45,"Production")</f>
        <v>97869.549999999988</v>
      </c>
      <c r="G33" s="191">
        <f>SUMIFS('Variance Analysis'!G$42:G$45,'Variance Analysis'!$B$42:$B$45,"Production")</f>
        <v>156550.43</v>
      </c>
      <c r="H33" s="191">
        <f>SUMIFS('Variance Analysis'!H$42:H$45,'Variance Analysis'!$B$42:$B$45,"Production")</f>
        <v>693574.66999999993</v>
      </c>
      <c r="I33" s="191">
        <f>SUMIFS('Variance Analysis'!I$42:I$45,'Variance Analysis'!$B$42:$B$45,"Production")</f>
        <v>536807.71</v>
      </c>
      <c r="J33" s="191">
        <f>SUMIFS('Variance Analysis'!J$42:J$45,'Variance Analysis'!$B$42:$B$45,"Production")</f>
        <v>1006975.31</v>
      </c>
      <c r="K33" s="191">
        <f>SUMIFS('Variance Analysis'!K$42:K$45,'Variance Analysis'!$B$42:$B$45,"Production")</f>
        <v>489816.01</v>
      </c>
      <c r="L33" s="191">
        <f>SUMIFS('Variance Analysis'!L$42:L$45,'Variance Analysis'!$B$42:$B$45,"Production")</f>
        <v>346881.89</v>
      </c>
      <c r="M33" s="191">
        <f>SUMIFS('Variance Analysis'!M$42:M$45,'Variance Analysis'!$B$42:$B$45,"Production")</f>
        <v>489605.13</v>
      </c>
      <c r="N33" s="191">
        <f>SUMIFS('Variance Analysis'!N$42:N$45,'Variance Analysis'!$B$42:$B$45,"Production")</f>
        <v>131234.43</v>
      </c>
      <c r="O33" s="178"/>
      <c r="P33" s="178"/>
      <c r="Q33" s="178"/>
      <c r="R33" s="178"/>
      <c r="S33" s="178"/>
      <c r="T33" s="178"/>
      <c r="U33" s="178"/>
      <c r="V33" s="178"/>
      <c r="W33" s="178"/>
      <c r="X33" s="178"/>
      <c r="Y33" s="178"/>
      <c r="Z33" s="178"/>
    </row>
    <row r="34" spans="1:26" s="108" customFormat="1" ht="13.5" customHeight="1">
      <c r="A34" s="190" t="s">
        <v>113</v>
      </c>
      <c r="B34" s="190" t="s">
        <v>122</v>
      </c>
      <c r="C34" s="191">
        <f>SUMIFS('Variance Analysis'!C$42:C$45,'Variance Analysis'!$B$42:$B$45,"Production Other")</f>
        <v>261989.36000000004</v>
      </c>
      <c r="D34" s="191">
        <f>SUMIFS('Variance Analysis'!D$42:D$45,'Variance Analysis'!$B$42:$B$45,"Production Other")</f>
        <v>268118.99</v>
      </c>
      <c r="E34" s="191">
        <f>SUMIFS('Variance Analysis'!E$42:E$45,'Variance Analysis'!$B$42:$B$45,"Production Other")</f>
        <v>390335.70999999996</v>
      </c>
      <c r="F34" s="191">
        <f>SUMIFS('Variance Analysis'!F$42:F$45,'Variance Analysis'!$B$42:$B$45,"Production Other")</f>
        <v>233211.01</v>
      </c>
      <c r="G34" s="191">
        <f>SUMIFS('Variance Analysis'!G$42:G$45,'Variance Analysis'!$B$42:$B$45,"Production Other")</f>
        <v>275312.98</v>
      </c>
      <c r="H34" s="191">
        <f>SUMIFS('Variance Analysis'!H$42:H$45,'Variance Analysis'!$B$42:$B$45,"Production Other")</f>
        <v>332360.16000000003</v>
      </c>
      <c r="I34" s="191">
        <f>SUMIFS('Variance Analysis'!I$42:I$45,'Variance Analysis'!$B$42:$B$45,"Production Other")</f>
        <v>378375.58</v>
      </c>
      <c r="J34" s="191">
        <f>SUMIFS('Variance Analysis'!J$42:J$45,'Variance Analysis'!$B$42:$B$45,"Production Other")</f>
        <v>370593.88</v>
      </c>
      <c r="K34" s="191">
        <f>SUMIFS('Variance Analysis'!K$42:K$45,'Variance Analysis'!$B$42:$B$45,"Production Other")</f>
        <v>323263.69</v>
      </c>
      <c r="L34" s="191">
        <f>SUMIFS('Variance Analysis'!L$42:L$45,'Variance Analysis'!$B$42:$B$45,"Production Other")</f>
        <v>308120.95</v>
      </c>
      <c r="M34" s="191">
        <f>SUMIFS('Variance Analysis'!M$42:M$45,'Variance Analysis'!$B$42:$B$45,"Production Other")</f>
        <v>315354.28000000003</v>
      </c>
      <c r="N34" s="191">
        <f>SUMIFS('Variance Analysis'!N$42:N$45,'Variance Analysis'!$B$42:$B$45,"Production Other")</f>
        <v>465785.57</v>
      </c>
      <c r="O34" s="178"/>
      <c r="P34" s="178"/>
      <c r="Q34" s="178"/>
      <c r="R34" s="178"/>
      <c r="S34" s="178"/>
      <c r="T34" s="178"/>
      <c r="U34" s="178"/>
      <c r="V34" s="178"/>
      <c r="W34" s="178"/>
      <c r="X34" s="178"/>
      <c r="Y34" s="178"/>
      <c r="Z34" s="178"/>
    </row>
    <row r="35" spans="1:26" s="108" customFormat="1" ht="13.5" customHeight="1">
      <c r="A35" s="190" t="s">
        <v>55</v>
      </c>
      <c r="B35" s="190" t="s">
        <v>123</v>
      </c>
      <c r="C35" s="202">
        <f>C11</f>
        <v>181933.291</v>
      </c>
      <c r="D35" s="202">
        <f t="shared" ref="D35:N35" si="0">D11</f>
        <v>187443.943</v>
      </c>
      <c r="E35" s="202">
        <f t="shared" si="0"/>
        <v>184773.65699999998</v>
      </c>
      <c r="F35" s="202">
        <f t="shared" si="0"/>
        <v>191541.09299999999</v>
      </c>
      <c r="G35" s="202">
        <f t="shared" si="0"/>
        <v>98096.062000000005</v>
      </c>
      <c r="H35" s="202">
        <f t="shared" si="0"/>
        <v>185306.853</v>
      </c>
      <c r="I35" s="202">
        <f t="shared" si="0"/>
        <v>186901.43900000001</v>
      </c>
      <c r="J35" s="202">
        <f t="shared" si="0"/>
        <v>158586.76500000001</v>
      </c>
      <c r="K35" s="202">
        <f t="shared" si="0"/>
        <v>191403.67599999998</v>
      </c>
      <c r="L35" s="202">
        <f t="shared" si="0"/>
        <v>171057.864</v>
      </c>
      <c r="M35" s="202">
        <f t="shared" si="0"/>
        <v>169286.99900000001</v>
      </c>
      <c r="N35" s="202">
        <f t="shared" si="0"/>
        <v>142508.717</v>
      </c>
      <c r="O35" s="178"/>
      <c r="P35" s="178"/>
      <c r="Q35" s="178"/>
      <c r="R35" s="178"/>
      <c r="S35" s="178"/>
      <c r="T35" s="178"/>
      <c r="U35" s="178"/>
      <c r="V35" s="178"/>
      <c r="W35" s="178"/>
      <c r="X35" s="178"/>
      <c r="Y35" s="178"/>
      <c r="Z35" s="178"/>
    </row>
    <row r="36" spans="1:26" s="108" customFormat="1" ht="13.5" customHeight="1">
      <c r="A36" s="190" t="s">
        <v>69</v>
      </c>
      <c r="B36" s="190" t="s">
        <v>123</v>
      </c>
      <c r="C36" s="202">
        <f>C19</f>
        <v>214968.99900000001</v>
      </c>
      <c r="D36" s="202">
        <f t="shared" ref="D36:N36" si="1">D19</f>
        <v>228199.05100000001</v>
      </c>
      <c r="E36" s="202">
        <f t="shared" si="1"/>
        <v>216536.467</v>
      </c>
      <c r="F36" s="202">
        <f t="shared" si="1"/>
        <v>296760.27599999995</v>
      </c>
      <c r="G36" s="202">
        <f t="shared" si="1"/>
        <v>232052.864</v>
      </c>
      <c r="H36" s="202">
        <f t="shared" si="1"/>
        <v>250210.16</v>
      </c>
      <c r="I36" s="202">
        <f t="shared" si="1"/>
        <v>268160.549</v>
      </c>
      <c r="J36" s="202">
        <f t="shared" si="1"/>
        <v>306884.52399999998</v>
      </c>
      <c r="K36" s="202">
        <f t="shared" si="1"/>
        <v>367651.00600000005</v>
      </c>
      <c r="L36" s="202">
        <f t="shared" si="1"/>
        <v>291990.16600000003</v>
      </c>
      <c r="M36" s="202">
        <f t="shared" si="1"/>
        <v>301185.12999999995</v>
      </c>
      <c r="N36" s="202">
        <f t="shared" si="1"/>
        <v>299782.89299999998</v>
      </c>
      <c r="O36" s="178"/>
      <c r="P36" s="178"/>
      <c r="Q36" s="178"/>
      <c r="R36" s="178"/>
      <c r="S36" s="178"/>
      <c r="T36" s="178"/>
      <c r="U36" s="178"/>
      <c r="V36" s="178"/>
      <c r="W36" s="178"/>
      <c r="X36" s="178"/>
      <c r="Y36" s="178"/>
      <c r="Z36" s="178"/>
    </row>
    <row r="37" spans="1:26" s="108" customFormat="1" ht="13.5" customHeight="1" thickBot="1">
      <c r="A37" s="190" t="s">
        <v>84</v>
      </c>
      <c r="B37" s="190" t="s">
        <v>123</v>
      </c>
      <c r="C37" s="202">
        <f>C27</f>
        <v>250241.99099999998</v>
      </c>
      <c r="D37" s="202">
        <f t="shared" ref="D37:N37" si="2">D27</f>
        <v>206740.70300000001</v>
      </c>
      <c r="E37" s="202">
        <f t="shared" si="2"/>
        <v>201235.46099999995</v>
      </c>
      <c r="F37" s="202">
        <f t="shared" si="2"/>
        <v>174369.56599999999</v>
      </c>
      <c r="G37" s="202">
        <f t="shared" si="2"/>
        <v>204091.05</v>
      </c>
      <c r="H37" s="202">
        <f t="shared" si="2"/>
        <v>146356.666</v>
      </c>
      <c r="I37" s="202">
        <f t="shared" si="2"/>
        <v>204202.49700000003</v>
      </c>
      <c r="J37" s="202">
        <f t="shared" si="2"/>
        <v>217430.19900000002</v>
      </c>
      <c r="K37" s="202">
        <f t="shared" si="2"/>
        <v>161814.21700000006</v>
      </c>
      <c r="L37" s="202">
        <f t="shared" si="2"/>
        <v>113441.13599999997</v>
      </c>
      <c r="M37" s="202">
        <f t="shared" si="2"/>
        <v>115407.36900000001</v>
      </c>
      <c r="N37" s="202">
        <f t="shared" si="2"/>
        <v>140380.33399999997</v>
      </c>
      <c r="O37" s="178"/>
      <c r="P37" s="178"/>
      <c r="Q37" s="178"/>
      <c r="R37" s="178"/>
      <c r="S37" s="178"/>
      <c r="T37" s="178"/>
      <c r="U37" s="178"/>
      <c r="V37" s="178"/>
      <c r="W37" s="178"/>
      <c r="X37" s="178"/>
      <c r="Y37" s="178"/>
      <c r="Z37" s="178"/>
    </row>
    <row r="38" spans="1:26" s="67" customFormat="1" ht="13.5" customHeight="1" thickTop="1" thickBot="1">
      <c r="A38" s="50" t="s">
        <v>124</v>
      </c>
      <c r="B38" s="51" t="s">
        <v>125</v>
      </c>
      <c r="C38" s="52">
        <f>SUM($C$32:C34)/SUM($C$35:C37)</f>
        <v>32.51713711737181</v>
      </c>
      <c r="D38" s="52">
        <f>SUM($C$32:D34)/SUM($C$35:D37)</f>
        <v>35.274262321141222</v>
      </c>
      <c r="E38" s="52">
        <f>SUM($C$32:E34)/SUM($C$35:E37)</f>
        <v>36.512178207603895</v>
      </c>
      <c r="F38" s="52">
        <f>SUM($C$32:F34)/SUM($C$35:F37)</f>
        <v>37.65539791300889</v>
      </c>
      <c r="G38" s="52">
        <f>SUM($C$32:G34)/SUM($C$35:G37)</f>
        <v>40.260721514487528</v>
      </c>
      <c r="H38" s="52">
        <f>SUM($C$32:H34)/SUM($C$35:H37)</f>
        <v>38.688207095620896</v>
      </c>
      <c r="I38" s="52">
        <f>SUM($C$32:I34)/SUM($C$35:I37)</f>
        <v>36.941136420629149</v>
      </c>
      <c r="J38" s="52">
        <f>SUM($C$32:J34)/SUM($C$35:J37)</f>
        <v>35.699638303730481</v>
      </c>
      <c r="K38" s="52">
        <f>SUM($C$32:K34)/SUM($C$35:K37)</f>
        <v>34.4419628489632</v>
      </c>
      <c r="L38" s="52">
        <f>SUM($C$32:L34)/SUM($C$35:L37)</f>
        <v>34.058425845177702</v>
      </c>
      <c r="M38" s="52">
        <f>SUM($C$32:M34)/SUM($C$35:M37)</f>
        <v>34.114232796761719</v>
      </c>
      <c r="N38" s="52">
        <f>SUM($C$32:N34)/SUM($C$35:N37)</f>
        <v>33.657442894960788</v>
      </c>
      <c r="O38" s="66"/>
      <c r="P38" s="66"/>
      <c r="Q38" s="66"/>
      <c r="R38" s="66"/>
      <c r="S38" s="66"/>
      <c r="T38" s="66"/>
      <c r="U38" s="66"/>
      <c r="V38" s="66"/>
      <c r="W38" s="66"/>
      <c r="X38" s="66"/>
      <c r="Y38" s="66"/>
      <c r="Z38" s="66"/>
    </row>
    <row r="39" spans="1:26" ht="13.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s="118" customFormat="1" ht="13.5" customHeight="1">
      <c r="A40" s="91" t="s">
        <v>129</v>
      </c>
      <c r="B40" s="91"/>
      <c r="C40" s="89"/>
      <c r="D40" s="89"/>
      <c r="E40" s="89"/>
      <c r="F40" s="89"/>
      <c r="G40" s="89"/>
      <c r="H40" s="89"/>
      <c r="I40" s="89"/>
      <c r="J40" s="89"/>
      <c r="K40" s="89"/>
      <c r="L40" s="89"/>
      <c r="M40" s="89"/>
      <c r="N40" s="89"/>
      <c r="O40" s="89"/>
      <c r="P40" s="89"/>
      <c r="Q40" s="89"/>
      <c r="R40" s="89"/>
      <c r="S40" s="89"/>
      <c r="T40" s="89"/>
      <c r="U40" s="89"/>
      <c r="V40" s="89"/>
      <c r="W40" s="89"/>
      <c r="X40" s="89"/>
      <c r="Y40" s="89"/>
      <c r="Z40" s="89"/>
    </row>
    <row r="41" spans="1:26" s="118" customFormat="1" ht="13.5" customHeight="1">
      <c r="A41" s="91" t="s">
        <v>120</v>
      </c>
      <c r="B41" s="91"/>
      <c r="C41" s="101" t="s">
        <v>43</v>
      </c>
      <c r="D41" s="101" t="s">
        <v>44</v>
      </c>
      <c r="E41" s="101" t="s">
        <v>45</v>
      </c>
      <c r="F41" s="101" t="s">
        <v>46</v>
      </c>
      <c r="G41" s="101" t="s">
        <v>47</v>
      </c>
      <c r="H41" s="101" t="s">
        <v>48</v>
      </c>
      <c r="I41" s="101" t="s">
        <v>49</v>
      </c>
      <c r="J41" s="101" t="s">
        <v>50</v>
      </c>
      <c r="K41" s="101" t="s">
        <v>51</v>
      </c>
      <c r="L41" s="101" t="s">
        <v>52</v>
      </c>
      <c r="M41" s="101" t="s">
        <v>53</v>
      </c>
      <c r="N41" s="101" t="s">
        <v>54</v>
      </c>
      <c r="O41" s="89"/>
      <c r="P41" s="89"/>
      <c r="Q41" s="89"/>
      <c r="R41" s="89"/>
      <c r="S41" s="89"/>
      <c r="T41" s="89"/>
      <c r="U41" s="89"/>
      <c r="V41" s="89"/>
      <c r="W41" s="89"/>
      <c r="X41" s="89"/>
      <c r="Y41" s="89"/>
      <c r="Z41" s="89"/>
    </row>
    <row r="42" spans="1:26" s="108" customFormat="1" ht="13.5" customHeight="1">
      <c r="A42" s="190" t="s">
        <v>111</v>
      </c>
      <c r="B42" s="190" t="s">
        <v>122</v>
      </c>
      <c r="C42" s="191">
        <f>SUMIF('Variance Analysis'!$B$9:$B$12,"Overheads",'Variance Analysis'!C$9:C$12)</f>
        <v>2870946.71</v>
      </c>
      <c r="D42" s="191">
        <f>SUMIF('Variance Analysis'!$B$9:$B$12,"Overheads",'Variance Analysis'!D$9:D$12)</f>
        <v>2893964.8600000003</v>
      </c>
      <c r="E42" s="191">
        <f>SUMIF('Variance Analysis'!$B$9:$B$12,"Overheads",'Variance Analysis'!E$9:E$12)</f>
        <v>4946553.25</v>
      </c>
      <c r="F42" s="191">
        <f>SUMIF('Variance Analysis'!$B$9:$B$12,"Overheads",'Variance Analysis'!F$9:F$12)</f>
        <v>3649852.2800000003</v>
      </c>
      <c r="G42" s="191">
        <f>SUMIF('Variance Analysis'!$B$9:$B$12,"Overheads",'Variance Analysis'!G$9:G$12)</f>
        <v>3390311.38</v>
      </c>
      <c r="H42" s="191">
        <f>SUMIF('Variance Analysis'!$B$9:$B$12,"Overheads",'Variance Analysis'!H$9:H$12)</f>
        <v>3296135.35</v>
      </c>
      <c r="I42" s="191">
        <f>SUMIF('Variance Analysis'!$B$9:$B$12,"Overheads",'Variance Analysis'!I$9:I$12)</f>
        <v>3371678.94</v>
      </c>
      <c r="J42" s="191">
        <f>SUMIF('Variance Analysis'!$B$9:$B$12,"Overheads",'Variance Analysis'!J$9:J$12)</f>
        <v>3486089.18</v>
      </c>
      <c r="K42" s="191">
        <f>SUMIF('Variance Analysis'!$B$9:$B$12,"Overheads",'Variance Analysis'!K$9:K$12)</f>
        <v>3420874.4299999997</v>
      </c>
      <c r="L42" s="191">
        <f>SUMIF('Variance Analysis'!$B$9:$B$12,"Overheads",'Variance Analysis'!L$9:L$12)</f>
        <v>3482686.52</v>
      </c>
      <c r="M42" s="191">
        <f>SUMIF('Variance Analysis'!$B$9:$B$12,"Overheads",'Variance Analysis'!M$9:M$12)</f>
        <v>3359577.0700000003</v>
      </c>
      <c r="N42" s="191">
        <f>SUMIF('Variance Analysis'!$B$9:$B$12,"Overheads",'Variance Analysis'!N$9:N$12)</f>
        <v>3881716.73</v>
      </c>
      <c r="O42" s="178"/>
      <c r="P42" s="178"/>
      <c r="Q42" s="178"/>
      <c r="R42" s="178"/>
      <c r="S42" s="178"/>
      <c r="T42" s="178"/>
      <c r="U42" s="178"/>
      <c r="V42" s="178"/>
      <c r="W42" s="178"/>
      <c r="X42" s="178"/>
      <c r="Y42" s="178"/>
      <c r="Z42" s="178"/>
    </row>
    <row r="43" spans="1:26" s="108" customFormat="1" ht="13.5" customHeight="1">
      <c r="A43" s="190" t="s">
        <v>112</v>
      </c>
      <c r="B43" s="190" t="s">
        <v>122</v>
      </c>
      <c r="C43" s="191">
        <f>SUMIF('Variance Analysis'!$B$9:$B$12,"Production",'Variance Analysis'!C$9:C$12)</f>
        <v>30000</v>
      </c>
      <c r="D43" s="191">
        <f>SUMIF('Variance Analysis'!$B$9:$B$12,"Production",'Variance Analysis'!D$9:D$12)</f>
        <v>30000</v>
      </c>
      <c r="E43" s="191">
        <f>SUMIF('Variance Analysis'!$B$9:$B$12,"Production",'Variance Analysis'!E$9:E$12)</f>
        <v>30000</v>
      </c>
      <c r="F43" s="191">
        <f>SUMIF('Variance Analysis'!$B$9:$B$12,"Production",'Variance Analysis'!F$9:F$12)</f>
        <v>30000</v>
      </c>
      <c r="G43" s="191">
        <f>SUMIF('Variance Analysis'!$B$9:$B$12,"Production",'Variance Analysis'!G$9:G$12)</f>
        <v>30000</v>
      </c>
      <c r="H43" s="191">
        <f>SUMIF('Variance Analysis'!$B$9:$B$12,"Production",'Variance Analysis'!H$9:H$12)</f>
        <v>30000</v>
      </c>
      <c r="I43" s="191">
        <f>SUMIF('Variance Analysis'!$B$9:$B$12,"Production",'Variance Analysis'!I$9:I$12)</f>
        <v>30000</v>
      </c>
      <c r="J43" s="191">
        <f>SUMIF('Variance Analysis'!$B$9:$B$12,"Production",'Variance Analysis'!J$9:J$12)</f>
        <v>30000</v>
      </c>
      <c r="K43" s="191">
        <f>SUMIF('Variance Analysis'!$B$9:$B$12,"Production",'Variance Analysis'!K$9:K$12)</f>
        <v>30000</v>
      </c>
      <c r="L43" s="191">
        <f>SUMIF('Variance Analysis'!$B$9:$B$12,"Production",'Variance Analysis'!L$9:L$12)</f>
        <v>30000</v>
      </c>
      <c r="M43" s="191">
        <f>SUMIF('Variance Analysis'!$B$9:$B$12,"Production",'Variance Analysis'!M$9:M$12)</f>
        <v>30000</v>
      </c>
      <c r="N43" s="191">
        <f>SUMIF('Variance Analysis'!$B$9:$B$12,"Production",'Variance Analysis'!N$9:N$12)</f>
        <v>30000</v>
      </c>
      <c r="O43" s="178"/>
      <c r="P43" s="178"/>
      <c r="Q43" s="178"/>
      <c r="R43" s="178"/>
      <c r="S43" s="178"/>
      <c r="T43" s="178"/>
      <c r="U43" s="178"/>
      <c r="V43" s="178"/>
      <c r="W43" s="178"/>
      <c r="X43" s="178"/>
      <c r="Y43" s="178"/>
      <c r="Z43" s="178"/>
    </row>
    <row r="44" spans="1:26" s="108" customFormat="1" ht="13.5" customHeight="1">
      <c r="A44" s="190" t="s">
        <v>113</v>
      </c>
      <c r="B44" s="190" t="s">
        <v>122</v>
      </c>
      <c r="C44" s="191">
        <f>SUMIF('Variance Analysis'!$B$9:$B$12,"Production Other",'Variance Analysis'!C$9:C$12)</f>
        <v>30000</v>
      </c>
      <c r="D44" s="191">
        <f>SUMIF('Variance Analysis'!$B$9:$B$12,"Production Other",'Variance Analysis'!D$9:D$12)</f>
        <v>30000</v>
      </c>
      <c r="E44" s="191">
        <f>SUMIF('Variance Analysis'!$B$9:$B$12,"Production Other",'Variance Analysis'!E$9:E$12)</f>
        <v>29923.74</v>
      </c>
      <c r="F44" s="191">
        <f>SUMIF('Variance Analysis'!$B$9:$B$12,"Production Other",'Variance Analysis'!F$9:F$12)</f>
        <v>30000</v>
      </c>
      <c r="G44" s="191">
        <f>SUMIF('Variance Analysis'!$B$9:$B$12,"Production Other",'Variance Analysis'!G$9:G$12)</f>
        <v>30000</v>
      </c>
      <c r="H44" s="191">
        <f>SUMIF('Variance Analysis'!$B$9:$B$12,"Production Other",'Variance Analysis'!H$9:H$12)</f>
        <v>30000</v>
      </c>
      <c r="I44" s="191">
        <f>SUMIF('Variance Analysis'!$B$9:$B$12,"Production Other",'Variance Analysis'!I$9:I$12)</f>
        <v>30000</v>
      </c>
      <c r="J44" s="191">
        <f>SUMIF('Variance Analysis'!$B$9:$B$12,"Production Other",'Variance Analysis'!J$9:J$12)</f>
        <v>30000</v>
      </c>
      <c r="K44" s="191">
        <f>SUMIF('Variance Analysis'!$B$9:$B$12,"Production Other",'Variance Analysis'!K$9:K$12)</f>
        <v>30000</v>
      </c>
      <c r="L44" s="191">
        <f>SUMIF('Variance Analysis'!$B$9:$B$12,"Production Other",'Variance Analysis'!L$9:L$12)</f>
        <v>30000</v>
      </c>
      <c r="M44" s="191">
        <f>SUMIF('Variance Analysis'!$B$9:$B$12,"Production Other",'Variance Analysis'!M$9:M$12)</f>
        <v>30000</v>
      </c>
      <c r="N44" s="191">
        <f>SUMIF('Variance Analysis'!$B$9:$B$12,"Production Other",'Variance Analysis'!N$9:N$12)</f>
        <v>30000</v>
      </c>
      <c r="O44" s="178"/>
      <c r="P44" s="178"/>
      <c r="Q44" s="178"/>
      <c r="R44" s="178"/>
      <c r="S44" s="178"/>
      <c r="T44" s="178"/>
      <c r="U44" s="178"/>
      <c r="V44" s="178"/>
      <c r="W44" s="178"/>
      <c r="X44" s="178"/>
      <c r="Y44" s="178"/>
      <c r="Z44" s="178"/>
    </row>
    <row r="45" spans="1:26" s="108" customFormat="1" ht="13.5" customHeight="1" thickBot="1">
      <c r="A45" s="190" t="s">
        <v>55</v>
      </c>
      <c r="B45" s="190" t="s">
        <v>123</v>
      </c>
      <c r="C45" s="202">
        <f>('Water Production Budget'!B2)*1000</f>
        <v>171933.291</v>
      </c>
      <c r="D45" s="202">
        <f>('Water Production Budget'!C2)*1000</f>
        <v>185443.943</v>
      </c>
      <c r="E45" s="202">
        <f>('Water Production Budget'!D2)*1000</f>
        <v>186773.65699999998</v>
      </c>
      <c r="F45" s="202">
        <f>('Water Production Budget'!E2)*1000</f>
        <v>190541.09299999999</v>
      </c>
      <c r="G45" s="202">
        <f>('Water Production Budget'!F2)*1000</f>
        <v>95096.062000000005</v>
      </c>
      <c r="H45" s="202">
        <f>('Water Production Budget'!G2)*1000</f>
        <v>184306.853</v>
      </c>
      <c r="I45" s="202">
        <f>('Water Production Budget'!H2)*1000</f>
        <v>181901.43900000001</v>
      </c>
      <c r="J45" s="202">
        <f>('Water Production Budget'!I2)*1000</f>
        <v>149586.76500000001</v>
      </c>
      <c r="K45" s="202">
        <f>('Water Production Budget'!J2)*1000</f>
        <v>181403.67599999998</v>
      </c>
      <c r="L45" s="202">
        <f>('Water Production Budget'!K2)*1000</f>
        <v>171057.864</v>
      </c>
      <c r="M45" s="202">
        <f>('Water Production Budget'!L2)*1000</f>
        <v>165286.99900000001</v>
      </c>
      <c r="N45" s="202">
        <f>('Water Production Budget'!M2)*1000</f>
        <v>149508.717</v>
      </c>
      <c r="O45" s="178"/>
      <c r="P45" s="178"/>
      <c r="Q45" s="178"/>
      <c r="R45" s="178"/>
      <c r="S45" s="178"/>
      <c r="T45" s="178"/>
      <c r="U45" s="178"/>
      <c r="V45" s="178"/>
      <c r="W45" s="178"/>
      <c r="X45" s="178"/>
      <c r="Y45" s="178"/>
      <c r="Z45" s="178"/>
    </row>
    <row r="46" spans="1:26" ht="13.5" customHeight="1" thickTop="1" thickBot="1">
      <c r="A46" s="50" t="s">
        <v>130</v>
      </c>
      <c r="B46" s="51" t="s">
        <v>125</v>
      </c>
      <c r="C46" s="52">
        <f>SUM(C42:C44)/C45</f>
        <v>17.04699940862529</v>
      </c>
      <c r="D46" s="52">
        <f t="shared" ref="D46:N46" si="3">SUM(D42:D44)/D45</f>
        <v>15.929152563370595</v>
      </c>
      <c r="E46" s="52">
        <f t="shared" si="3"/>
        <v>26.805048797647096</v>
      </c>
      <c r="F46" s="52">
        <f t="shared" si="3"/>
        <v>19.470090265515587</v>
      </c>
      <c r="G46" s="52">
        <f t="shared" si="3"/>
        <v>36.282379179907572</v>
      </c>
      <c r="H46" s="52">
        <f t="shared" si="3"/>
        <v>18.209498428145807</v>
      </c>
      <c r="I46" s="52">
        <f t="shared" si="3"/>
        <v>18.865595340342523</v>
      </c>
      <c r="J46" s="52">
        <f t="shared" si="3"/>
        <v>23.705901922539738</v>
      </c>
      <c r="K46" s="52">
        <f t="shared" si="3"/>
        <v>19.188555087494478</v>
      </c>
      <c r="L46" s="52">
        <f t="shared" si="3"/>
        <v>20.710456901297448</v>
      </c>
      <c r="M46" s="52">
        <f t="shared" si="3"/>
        <v>20.688723799746647</v>
      </c>
      <c r="N46" s="52">
        <f t="shared" si="3"/>
        <v>26.364460943103403</v>
      </c>
      <c r="O46" s="66"/>
      <c r="P46" s="66"/>
      <c r="Q46" s="66"/>
      <c r="R46" s="66"/>
      <c r="S46" s="66"/>
      <c r="T46" s="66"/>
      <c r="U46" s="66"/>
      <c r="V46" s="66"/>
      <c r="W46" s="66"/>
      <c r="X46" s="66"/>
      <c r="Y46" s="66"/>
      <c r="Z46" s="66"/>
    </row>
    <row r="47" spans="1:26" s="67" customFormat="1" ht="13.5" customHeight="1">
      <c r="A47" s="183"/>
      <c r="B47" s="184"/>
      <c r="C47" s="185"/>
      <c r="D47" s="185"/>
      <c r="E47" s="185"/>
      <c r="F47" s="185"/>
      <c r="G47" s="185"/>
      <c r="H47" s="185"/>
      <c r="I47" s="185"/>
      <c r="J47" s="185"/>
      <c r="K47" s="185"/>
      <c r="L47" s="185"/>
      <c r="M47" s="185"/>
      <c r="N47" s="185"/>
      <c r="O47" s="66"/>
      <c r="P47" s="66"/>
      <c r="Q47" s="66"/>
      <c r="R47" s="66"/>
      <c r="S47" s="66"/>
      <c r="T47" s="66"/>
      <c r="U47" s="66"/>
      <c r="V47" s="66"/>
      <c r="W47" s="66"/>
      <c r="X47" s="66"/>
      <c r="Y47" s="66"/>
      <c r="Z47" s="66"/>
    </row>
    <row r="48" spans="1:26" s="118" customFormat="1" ht="13.5" customHeight="1">
      <c r="A48" s="91" t="s">
        <v>131</v>
      </c>
      <c r="B48" s="91"/>
      <c r="C48" s="89"/>
      <c r="D48" s="89"/>
      <c r="E48" s="89"/>
      <c r="F48" s="89"/>
      <c r="G48" s="89"/>
      <c r="H48" s="89"/>
      <c r="I48" s="89"/>
      <c r="J48" s="89"/>
      <c r="K48" s="89"/>
      <c r="L48" s="89"/>
      <c r="M48" s="89"/>
      <c r="N48" s="89"/>
      <c r="O48" s="89"/>
      <c r="P48" s="89"/>
      <c r="Q48" s="89"/>
      <c r="R48" s="89"/>
      <c r="S48" s="89"/>
      <c r="T48" s="89"/>
      <c r="U48" s="89"/>
      <c r="V48" s="89"/>
      <c r="W48" s="89"/>
      <c r="X48" s="89"/>
      <c r="Y48" s="89"/>
      <c r="Z48" s="89"/>
    </row>
    <row r="49" spans="1:26" s="118" customFormat="1" ht="13.5" customHeight="1">
      <c r="A49" s="91" t="s">
        <v>120</v>
      </c>
      <c r="B49" s="91"/>
      <c r="C49" s="101" t="s">
        <v>43</v>
      </c>
      <c r="D49" s="101" t="s">
        <v>44</v>
      </c>
      <c r="E49" s="101" t="s">
        <v>45</v>
      </c>
      <c r="F49" s="101" t="s">
        <v>46</v>
      </c>
      <c r="G49" s="101" t="s">
        <v>47</v>
      </c>
      <c r="H49" s="101" t="s">
        <v>48</v>
      </c>
      <c r="I49" s="101" t="s">
        <v>49</v>
      </c>
      <c r="J49" s="101" t="s">
        <v>50</v>
      </c>
      <c r="K49" s="101" t="s">
        <v>51</v>
      </c>
      <c r="L49" s="101" t="s">
        <v>52</v>
      </c>
      <c r="M49" s="101" t="s">
        <v>53</v>
      </c>
      <c r="N49" s="101" t="s">
        <v>54</v>
      </c>
      <c r="O49" s="89"/>
      <c r="P49" s="89"/>
      <c r="Q49" s="89"/>
      <c r="R49" s="89"/>
      <c r="S49" s="89"/>
      <c r="T49" s="89"/>
      <c r="U49" s="89"/>
      <c r="V49" s="89"/>
      <c r="W49" s="89"/>
      <c r="X49" s="89"/>
      <c r="Y49" s="89"/>
      <c r="Z49" s="89"/>
    </row>
    <row r="50" spans="1:26" s="108" customFormat="1" ht="13.5" customHeight="1">
      <c r="A50" s="190" t="s">
        <v>111</v>
      </c>
      <c r="B50" s="190" t="s">
        <v>122</v>
      </c>
      <c r="C50" s="191">
        <f>SUMIF('Variance Analysis'!$B$14:$B$16,"Overheads",'Variance Analysis'!C$14:C$16)</f>
        <v>10156042.75</v>
      </c>
      <c r="D50" s="191">
        <f>SUMIF('Variance Analysis'!$B$14:$B$16,"Overheads",'Variance Analysis'!D$14:D$16)</f>
        <v>10507931.76</v>
      </c>
      <c r="E50" s="191">
        <f>SUMIF('Variance Analysis'!$B$14:$B$16,"Overheads",'Variance Analysis'!E$14:E$16)</f>
        <v>14876453.26</v>
      </c>
      <c r="F50" s="191">
        <f>SUMIF('Variance Analysis'!$B$14:$B$16,"Overheads",'Variance Analysis'!F$14:F$16)</f>
        <v>17913936.32</v>
      </c>
      <c r="G50" s="191">
        <f>SUMIF('Variance Analysis'!$B$14:$B$16,"Overheads",'Variance Analysis'!G$14:G$16)</f>
        <v>16602328.669999998</v>
      </c>
      <c r="H50" s="191">
        <f>SUMIF('Variance Analysis'!$B$14:$B$16,"Overheads",'Variance Analysis'!H$14:H$16)</f>
        <v>11716587.91</v>
      </c>
      <c r="I50" s="191">
        <f>SUMIF('Variance Analysis'!$B$14:$B$16,"Overheads",'Variance Analysis'!I$14:I$16)</f>
        <v>8737662.6500000004</v>
      </c>
      <c r="J50" s="191">
        <f>SUMIF('Variance Analysis'!$B$14:$B$16,"Overheads",'Variance Analysis'!J$14:J$16)</f>
        <v>8769854.0099999998</v>
      </c>
      <c r="K50" s="191">
        <f>SUMIF('Variance Analysis'!$B$14:$B$16,"Overheads",'Variance Analysis'!K$14:K$16)</f>
        <v>10564946.010000002</v>
      </c>
      <c r="L50" s="191">
        <f>SUMIF('Variance Analysis'!$B$14:$B$16,"Overheads",'Variance Analysis'!L$14:L$16)</f>
        <v>10222269.529999999</v>
      </c>
      <c r="M50" s="191">
        <f>SUMIF('Variance Analysis'!$B$14:$B$16,"Overheads",'Variance Analysis'!M$14:M$16)</f>
        <v>10608268.550000001</v>
      </c>
      <c r="N50" s="191">
        <f>SUMIF('Variance Analysis'!$B$14:$B$16,"Overheads",'Variance Analysis'!N$14:N$16)</f>
        <v>12229507.550000001</v>
      </c>
      <c r="O50" s="178"/>
      <c r="P50" s="178"/>
      <c r="Q50" s="178"/>
      <c r="R50" s="178"/>
      <c r="S50" s="178"/>
      <c r="T50" s="178"/>
      <c r="U50" s="178"/>
      <c r="V50" s="178"/>
      <c r="W50" s="178"/>
      <c r="X50" s="178"/>
      <c r="Y50" s="178"/>
      <c r="Z50" s="178"/>
    </row>
    <row r="51" spans="1:26" s="108" customFormat="1" ht="13.5" customHeight="1">
      <c r="A51" s="190" t="s">
        <v>112</v>
      </c>
      <c r="B51" s="190" t="s">
        <v>122</v>
      </c>
      <c r="C51" s="191">
        <f>SUMIF('Variance Analysis'!$B$14:$B$16,"Production",'Variance Analysis'!C$14:C$16)</f>
        <v>169981</v>
      </c>
      <c r="D51" s="191">
        <f>SUMIF('Variance Analysis'!$B$14:$B$16,"Production",'Variance Analysis'!D$14:D$16)</f>
        <v>169981</v>
      </c>
      <c r="E51" s="191">
        <f>SUMIF('Variance Analysis'!$B$14:$B$16,"Production",'Variance Analysis'!E$14:E$16)</f>
        <v>169981</v>
      </c>
      <c r="F51" s="191">
        <f>SUMIF('Variance Analysis'!$B$14:$B$16,"Production",'Variance Analysis'!F$14:F$16)</f>
        <v>166888</v>
      </c>
      <c r="G51" s="191">
        <f>SUMIF('Variance Analysis'!$B$14:$B$16,"Production",'Variance Analysis'!G$14:G$16)</f>
        <v>166888</v>
      </c>
      <c r="H51" s="191">
        <f>SUMIF('Variance Analysis'!$B$14:$B$16,"Production",'Variance Analysis'!H$14:H$16)</f>
        <v>392677</v>
      </c>
      <c r="I51" s="191">
        <f>SUMIF('Variance Analysis'!$B$14:$B$16,"Production",'Variance Analysis'!I$14:I$16)</f>
        <v>392677</v>
      </c>
      <c r="J51" s="191">
        <f>SUMIF('Variance Analysis'!$B$14:$B$16,"Production",'Variance Analysis'!J$14:J$16)</f>
        <v>608648</v>
      </c>
      <c r="K51" s="191">
        <f>SUMIF('Variance Analysis'!$B$14:$B$16,"Production",'Variance Analysis'!K$14:K$16)</f>
        <v>608648</v>
      </c>
      <c r="L51" s="191">
        <f>SUMIF('Variance Analysis'!$B$14:$B$16,"Production",'Variance Analysis'!L$14:L$16)</f>
        <v>166888</v>
      </c>
      <c r="M51" s="191">
        <f>SUMIF('Variance Analysis'!$B$14:$B$16,"Production",'Variance Analysis'!M$14:M$16)</f>
        <v>166888</v>
      </c>
      <c r="N51" s="191">
        <f>SUMIF('Variance Analysis'!$B$14:$B$16,"Production",'Variance Analysis'!N$14:N$16)</f>
        <v>166888</v>
      </c>
      <c r="O51" s="178"/>
      <c r="P51" s="178"/>
      <c r="Q51" s="178"/>
      <c r="R51" s="178"/>
      <c r="S51" s="178"/>
      <c r="T51" s="178"/>
      <c r="U51" s="178"/>
      <c r="V51" s="178"/>
      <c r="W51" s="178"/>
      <c r="X51" s="178"/>
      <c r="Y51" s="178"/>
      <c r="Z51" s="178"/>
    </row>
    <row r="52" spans="1:26" s="108" customFormat="1" ht="13.5" customHeight="1">
      <c r="A52" s="190" t="s">
        <v>113</v>
      </c>
      <c r="B52" s="190" t="s">
        <v>122</v>
      </c>
      <c r="C52" s="191">
        <f>SUMIF('Variance Analysis'!$B$14:$B$16,"Production Other",'Variance Analysis'!C$14:C$16)</f>
        <v>479062.54</v>
      </c>
      <c r="D52" s="191">
        <f>SUMIF('Variance Analysis'!$B$14:$B$16,"Production Other",'Variance Analysis'!D$14:D$16)</f>
        <v>479062.54</v>
      </c>
      <c r="E52" s="191">
        <f>SUMIF('Variance Analysis'!$B$14:$B$16,"Production Other",'Variance Analysis'!E$14:E$16)</f>
        <v>479062.54</v>
      </c>
      <c r="F52" s="191">
        <f>SUMIF('Variance Analysis'!$B$14:$B$16,"Production Other",'Variance Analysis'!F$14:F$16)</f>
        <v>479062.54</v>
      </c>
      <c r="G52" s="191">
        <f>SUMIF('Variance Analysis'!$B$14:$B$16,"Production Other",'Variance Analysis'!G$14:G$16)</f>
        <v>479062.54</v>
      </c>
      <c r="H52" s="191">
        <f>SUMIF('Variance Analysis'!$B$14:$B$16,"Production Other",'Variance Analysis'!H$14:H$16)</f>
        <v>479062.54</v>
      </c>
      <c r="I52" s="191">
        <f>SUMIF('Variance Analysis'!$B$14:$B$16,"Production Other",'Variance Analysis'!I$14:I$16)</f>
        <v>479062.54</v>
      </c>
      <c r="J52" s="191">
        <f>SUMIF('Variance Analysis'!$B$14:$B$16,"Production Other",'Variance Analysis'!J$14:J$16)</f>
        <v>479062.54</v>
      </c>
      <c r="K52" s="191">
        <f>SUMIF('Variance Analysis'!$B$14:$B$16,"Production Other",'Variance Analysis'!K$14:K$16)</f>
        <v>479062.54</v>
      </c>
      <c r="L52" s="191">
        <f>SUMIF('Variance Analysis'!$B$14:$B$16,"Production Other",'Variance Analysis'!L$14:L$16)</f>
        <v>479062.54</v>
      </c>
      <c r="M52" s="191">
        <f>SUMIF('Variance Analysis'!$B$14:$B$16,"Production Other",'Variance Analysis'!M$14:M$16)</f>
        <v>479062.54</v>
      </c>
      <c r="N52" s="191">
        <f>SUMIF('Variance Analysis'!$B$14:$B$16,"Production Other",'Variance Analysis'!N$14:N$16)</f>
        <v>479062.54</v>
      </c>
      <c r="O52" s="178"/>
      <c r="P52" s="178"/>
      <c r="Q52" s="178"/>
      <c r="R52" s="178"/>
      <c r="S52" s="178"/>
      <c r="T52" s="178"/>
      <c r="U52" s="178"/>
      <c r="V52" s="178"/>
      <c r="W52" s="178"/>
      <c r="X52" s="178"/>
      <c r="Y52" s="178"/>
      <c r="Z52" s="178"/>
    </row>
    <row r="53" spans="1:26" s="108" customFormat="1" ht="13.5" customHeight="1" thickBot="1">
      <c r="A53" s="190" t="s">
        <v>69</v>
      </c>
      <c r="B53" s="190" t="s">
        <v>123</v>
      </c>
      <c r="C53" s="202">
        <f>('Water Production Budget'!B3)*1000</f>
        <v>211968.99900000001</v>
      </c>
      <c r="D53" s="202">
        <f>('Water Production Budget'!C3)*1000</f>
        <v>224199.05100000001</v>
      </c>
      <c r="E53" s="202">
        <f>('Water Production Budget'!D3)*1000</f>
        <v>220536.46699999998</v>
      </c>
      <c r="F53" s="202">
        <f>('Water Production Budget'!E3)*1000</f>
        <v>306760.27599999995</v>
      </c>
      <c r="G53" s="202">
        <f>('Water Production Budget'!F3)*1000</f>
        <v>260052.864</v>
      </c>
      <c r="H53" s="202">
        <f>('Water Production Budget'!G3)*1000</f>
        <v>240210.16</v>
      </c>
      <c r="I53" s="202">
        <f>('Water Production Budget'!H3)*1000</f>
        <v>258160.549</v>
      </c>
      <c r="J53" s="202">
        <f>('Water Production Budget'!I3)*1000</f>
        <v>310884.52399999998</v>
      </c>
      <c r="K53" s="202">
        <f>('Water Production Budget'!J3)*1000</f>
        <v>347651.00599999999</v>
      </c>
      <c r="L53" s="202">
        <f>('Water Production Budget'!K3)*1000</f>
        <v>271990.16599999997</v>
      </c>
      <c r="M53" s="202">
        <f>('Water Production Budget'!L3)*1000</f>
        <v>301185.12999999995</v>
      </c>
      <c r="N53" s="202">
        <f>('Water Production Budget'!M3)*1000</f>
        <v>299782.89299999998</v>
      </c>
      <c r="O53" s="178"/>
      <c r="P53" s="178"/>
      <c r="Q53" s="178"/>
      <c r="R53" s="178"/>
      <c r="S53" s="178"/>
      <c r="T53" s="178"/>
      <c r="U53" s="178"/>
      <c r="V53" s="178"/>
      <c r="W53" s="178"/>
      <c r="X53" s="178"/>
      <c r="Y53" s="178"/>
      <c r="Z53" s="178"/>
    </row>
    <row r="54" spans="1:26" s="67" customFormat="1" ht="13.5" customHeight="1" thickTop="1" thickBot="1">
      <c r="A54" s="50" t="s">
        <v>130</v>
      </c>
      <c r="B54" s="51" t="s">
        <v>125</v>
      </c>
      <c r="C54" s="52">
        <f>SUM(C50:C52)/C53</f>
        <v>50.974842269269757</v>
      </c>
      <c r="D54" s="52">
        <f t="shared" ref="D54:N54" si="4">SUM(D50:D52)/D53</f>
        <v>49.763704396768382</v>
      </c>
      <c r="E54" s="52">
        <f t="shared" si="4"/>
        <v>70.398773550679948</v>
      </c>
      <c r="F54" s="52">
        <f t="shared" si="4"/>
        <v>60.502901816400772</v>
      </c>
      <c r="G54" s="52">
        <f t="shared" si="4"/>
        <v>66.326049806550088</v>
      </c>
      <c r="H54" s="52">
        <f t="shared" si="4"/>
        <v>52.40547464770016</v>
      </c>
      <c r="I54" s="52">
        <f t="shared" si="4"/>
        <v>37.222581944540252</v>
      </c>
      <c r="J54" s="52">
        <f t="shared" si="4"/>
        <v>31.708122434553864</v>
      </c>
      <c r="K54" s="52">
        <f t="shared" si="4"/>
        <v>33.51825925681343</v>
      </c>
      <c r="L54" s="52">
        <f t="shared" si="4"/>
        <v>39.958136096729319</v>
      </c>
      <c r="M54" s="52">
        <f t="shared" si="4"/>
        <v>37.36644996384782</v>
      </c>
      <c r="N54" s="52">
        <f t="shared" si="4"/>
        <v>42.949275594588386</v>
      </c>
      <c r="O54" s="66"/>
      <c r="P54" s="66"/>
      <c r="Q54" s="66"/>
      <c r="R54" s="66"/>
      <c r="S54" s="66"/>
      <c r="T54" s="66"/>
      <c r="U54" s="66"/>
      <c r="V54" s="66"/>
      <c r="W54" s="66"/>
      <c r="X54" s="66"/>
      <c r="Y54" s="66"/>
      <c r="Z54" s="66"/>
    </row>
    <row r="55" spans="1:26" ht="13.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s="170" customFormat="1" ht="13.5" customHeight="1">
      <c r="A56" s="91" t="s">
        <v>132</v>
      </c>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s="170" customFormat="1" ht="13.5" customHeight="1">
      <c r="A57" s="91" t="s">
        <v>120</v>
      </c>
      <c r="B57" s="91"/>
      <c r="C57" s="101" t="s">
        <v>43</v>
      </c>
      <c r="D57" s="101" t="s">
        <v>44</v>
      </c>
      <c r="E57" s="101" t="s">
        <v>45</v>
      </c>
      <c r="F57" s="101" t="s">
        <v>46</v>
      </c>
      <c r="G57" s="101" t="s">
        <v>47</v>
      </c>
      <c r="H57" s="101" t="s">
        <v>48</v>
      </c>
      <c r="I57" s="101" t="s">
        <v>49</v>
      </c>
      <c r="J57" s="101" t="s">
        <v>50</v>
      </c>
      <c r="K57" s="101" t="s">
        <v>51</v>
      </c>
      <c r="L57" s="101" t="s">
        <v>52</v>
      </c>
      <c r="M57" s="101" t="s">
        <v>53</v>
      </c>
      <c r="N57" s="101" t="s">
        <v>54</v>
      </c>
      <c r="O57" s="91"/>
      <c r="P57" s="91"/>
      <c r="Q57" s="91"/>
      <c r="R57" s="91"/>
      <c r="S57" s="91"/>
      <c r="T57" s="91"/>
      <c r="U57" s="91"/>
      <c r="V57" s="91"/>
      <c r="W57" s="91"/>
      <c r="X57" s="91"/>
      <c r="Y57" s="91"/>
      <c r="Z57" s="91"/>
    </row>
    <row r="58" spans="1:26" s="108" customFormat="1" ht="13.5" customHeight="1">
      <c r="A58" s="190" t="s">
        <v>111</v>
      </c>
      <c r="B58" s="190" t="s">
        <v>122</v>
      </c>
      <c r="C58" s="191">
        <f>SUMIF('Variance Analysis'!$B$18:$B$20,"Overheads",'Variance Analysis'!C$18:C$20)</f>
        <v>5306245.1399999997</v>
      </c>
      <c r="D58" s="191">
        <f>SUMIF('Variance Analysis'!$B$18:$B$20,"Overheads",'Variance Analysis'!D$18:D$20)</f>
        <v>4773912.8199999994</v>
      </c>
      <c r="E58" s="191">
        <f>SUMIF('Variance Analysis'!$B$18:$B$20,"Overheads",'Variance Analysis'!E$18:E$20)</f>
        <v>4697833.7299999995</v>
      </c>
      <c r="F58" s="191">
        <f>SUMIF('Variance Analysis'!$B$18:$B$20,"Overheads",'Variance Analysis'!F$18:F$20)</f>
        <v>2982712.6999999997</v>
      </c>
      <c r="G58" s="191">
        <f>SUMIF('Variance Analysis'!$B$18:$B$20,"Overheads",'Variance Analysis'!G$18:G$20)</f>
        <v>6311780.6000000006</v>
      </c>
      <c r="H58" s="191">
        <f>SUMIF('Variance Analysis'!$B$18:$B$20,"Overheads",'Variance Analysis'!H$18:H$20)</f>
        <v>2025499.16</v>
      </c>
      <c r="I58" s="191">
        <f>SUMIF('Variance Analysis'!$B$18:$B$20,"Overheads",'Variance Analysis'!I$18:I$20)</f>
        <v>3457616.66</v>
      </c>
      <c r="J58" s="191">
        <f>SUMIF('Variance Analysis'!$B$18:$B$20,"Overheads",'Variance Analysis'!J$18:J$20)</f>
        <v>2884003.88</v>
      </c>
      <c r="K58" s="191">
        <f>SUMIF('Variance Analysis'!$B$18:$B$20,"Overheads",'Variance Analysis'!K$18:K$20)</f>
        <v>2408511.39</v>
      </c>
      <c r="L58" s="191">
        <f>SUMIF('Variance Analysis'!$B$18:$B$20,"Overheads",'Variance Analysis'!L$18:L$20)</f>
        <v>4555248.4799999995</v>
      </c>
      <c r="M58" s="191">
        <f>SUMIF('Variance Analysis'!$B$18:$B$20,"Overheads",'Variance Analysis'!M$18:M$20)</f>
        <v>4548727.24</v>
      </c>
      <c r="N58" s="191">
        <f>SUMIF('Variance Analysis'!$B$18:$B$20,"Overheads",'Variance Analysis'!N$18:N$20)</f>
        <v>4544356.8599999994</v>
      </c>
      <c r="O58" s="178"/>
      <c r="P58" s="178"/>
      <c r="Q58" s="178"/>
      <c r="R58" s="178"/>
      <c r="S58" s="178"/>
      <c r="T58" s="178"/>
      <c r="U58" s="178"/>
      <c r="V58" s="178"/>
      <c r="W58" s="178"/>
      <c r="X58" s="178"/>
      <c r="Y58" s="178"/>
      <c r="Z58" s="178"/>
    </row>
    <row r="59" spans="1:26" s="108" customFormat="1" ht="13.5" customHeight="1">
      <c r="A59" s="190" t="s">
        <v>112</v>
      </c>
      <c r="B59" s="190" t="s">
        <v>122</v>
      </c>
      <c r="C59" s="191">
        <f>SUMIF('Variance Analysis'!$B$18:$B$20,"Production",'Variance Analysis'!C$18:C$20)</f>
        <v>150914</v>
      </c>
      <c r="D59" s="191">
        <f>SUMIF('Variance Analysis'!$B$18:$B$20,"Production",'Variance Analysis'!D$18:D$20)</f>
        <v>150914</v>
      </c>
      <c r="E59" s="191">
        <f>SUMIF('Variance Analysis'!$B$18:$B$20,"Production",'Variance Analysis'!E$18:E$20)</f>
        <v>150914</v>
      </c>
      <c r="F59" s="191">
        <f>SUMIF('Variance Analysis'!$B$18:$B$20,"Production",'Variance Analysis'!F$18:F$20)</f>
        <v>145582</v>
      </c>
      <c r="G59" s="191">
        <f>SUMIF('Variance Analysis'!$B$18:$B$20,"Production",'Variance Analysis'!G$18:G$20)</f>
        <v>145582</v>
      </c>
      <c r="H59" s="191">
        <f>SUMIF('Variance Analysis'!$B$18:$B$20,"Production",'Variance Analysis'!H$18:H$20)</f>
        <v>341130</v>
      </c>
      <c r="I59" s="191">
        <f>SUMIF('Variance Analysis'!$B$18:$B$20,"Production",'Variance Analysis'!I$18:I$20)</f>
        <v>341130</v>
      </c>
      <c r="J59" s="191">
        <f>SUMIF('Variance Analysis'!$B$18:$B$20,"Production",'Variance Analysis'!J$18:J$20)</f>
        <v>528180</v>
      </c>
      <c r="K59" s="191">
        <f>SUMIF('Variance Analysis'!$B$18:$B$20,"Production",'Variance Analysis'!K$18:K$20)</f>
        <v>528180</v>
      </c>
      <c r="L59" s="191">
        <f>SUMIF('Variance Analysis'!$B$18:$B$20,"Production",'Variance Analysis'!L$18:L$20)</f>
        <v>145582</v>
      </c>
      <c r="M59" s="191">
        <f>SUMIF('Variance Analysis'!$B$18:$B$20,"Production",'Variance Analysis'!M$18:M$20)</f>
        <v>145582</v>
      </c>
      <c r="N59" s="191">
        <f>SUMIF('Variance Analysis'!$B$18:$B$20,"Production",'Variance Analysis'!N$18:N$20)</f>
        <v>145582</v>
      </c>
      <c r="O59" s="178"/>
      <c r="P59" s="178"/>
      <c r="Q59" s="178"/>
      <c r="R59" s="178"/>
      <c r="S59" s="178"/>
      <c r="T59" s="178"/>
      <c r="U59" s="178"/>
      <c r="V59" s="178"/>
      <c r="W59" s="178"/>
      <c r="X59" s="178"/>
      <c r="Y59" s="178"/>
      <c r="Z59" s="178"/>
    </row>
    <row r="60" spans="1:26" s="108" customFormat="1" ht="13.5" customHeight="1">
      <c r="A60" s="190" t="s">
        <v>113</v>
      </c>
      <c r="B60" s="190" t="s">
        <v>122</v>
      </c>
      <c r="C60" s="191">
        <f>SUMIF('Variance Analysis'!$B$18:$B$20,"Production Other",'Variance Analysis'!C$18:C$20)</f>
        <v>4850</v>
      </c>
      <c r="D60" s="191">
        <f>SUMIF('Variance Analysis'!$B$18:$B$20,"Production Other",'Variance Analysis'!D$18:D$20)</f>
        <v>9600</v>
      </c>
      <c r="E60" s="191">
        <f>SUMIF('Variance Analysis'!$B$18:$B$20,"Production Other",'Variance Analysis'!E$18:E$20)</f>
        <v>4850</v>
      </c>
      <c r="F60" s="191">
        <f>SUMIF('Variance Analysis'!$B$18:$B$20,"Production Other",'Variance Analysis'!F$18:F$20)</f>
        <v>4850</v>
      </c>
      <c r="G60" s="191">
        <f>SUMIF('Variance Analysis'!$B$18:$B$20,"Production Other",'Variance Analysis'!G$18:G$20)</f>
        <v>4850</v>
      </c>
      <c r="H60" s="191">
        <f>SUMIF('Variance Analysis'!$B$18:$B$20,"Production Other",'Variance Analysis'!H$18:H$20)</f>
        <v>4850</v>
      </c>
      <c r="I60" s="191">
        <f>SUMIF('Variance Analysis'!$B$18:$B$20,"Production Other",'Variance Analysis'!I$18:I$20)</f>
        <v>4850</v>
      </c>
      <c r="J60" s="191">
        <f>SUMIF('Variance Analysis'!$B$18:$B$20,"Production Other",'Variance Analysis'!J$18:J$20)</f>
        <v>9600</v>
      </c>
      <c r="K60" s="191">
        <f>SUMIF('Variance Analysis'!$B$18:$B$20,"Production Other",'Variance Analysis'!K$18:K$20)</f>
        <v>4850</v>
      </c>
      <c r="L60" s="191">
        <f>SUMIF('Variance Analysis'!$B$18:$B$20,"Production Other",'Variance Analysis'!L$18:L$20)</f>
        <v>4850</v>
      </c>
      <c r="M60" s="191">
        <f>SUMIF('Variance Analysis'!$B$18:$B$20,"Production Other",'Variance Analysis'!M$18:M$20)</f>
        <v>4850</v>
      </c>
      <c r="N60" s="191">
        <f>SUMIF('Variance Analysis'!$B$18:$B$20,"Production Other",'Variance Analysis'!N$18:N$20)</f>
        <v>4850</v>
      </c>
      <c r="O60" s="178"/>
      <c r="P60" s="178"/>
      <c r="Q60" s="178"/>
      <c r="R60" s="178"/>
      <c r="S60" s="178"/>
      <c r="T60" s="178"/>
      <c r="U60" s="178"/>
      <c r="V60" s="178"/>
      <c r="W60" s="178"/>
      <c r="X60" s="178"/>
      <c r="Y60" s="178"/>
      <c r="Z60" s="178"/>
    </row>
    <row r="61" spans="1:26" s="108" customFormat="1" ht="13.5" customHeight="1" thickBot="1">
      <c r="A61" s="190" t="s">
        <v>84</v>
      </c>
      <c r="B61" s="190" t="s">
        <v>123</v>
      </c>
      <c r="C61" s="202">
        <f>('Water Production Budget'!B4)*1000</f>
        <v>234241.99100000001</v>
      </c>
      <c r="D61" s="202">
        <f>('Water Production Budget'!C4)*1000</f>
        <v>203740.70300000001</v>
      </c>
      <c r="E61" s="202">
        <f>('Water Production Budget'!D4)*1000</f>
        <v>192235.46099999998</v>
      </c>
      <c r="F61" s="202">
        <f>('Water Production Budget'!E4)*1000</f>
        <v>176369.56599999999</v>
      </c>
      <c r="G61" s="202">
        <f>('Water Production Budget'!F4)*1000</f>
        <v>206091.05</v>
      </c>
      <c r="H61" s="202">
        <f>('Water Production Budget'!G4)*1000</f>
        <v>141321.56660000002</v>
      </c>
      <c r="I61" s="202">
        <f>('Water Production Budget'!H4)*1000</f>
        <v>214202.497</v>
      </c>
      <c r="J61" s="202">
        <f>('Water Production Budget'!I4)*1000</f>
        <v>211430.19899999999</v>
      </c>
      <c r="K61" s="202">
        <f>('Water Production Budget'!J4)*1000</f>
        <v>141814.217</v>
      </c>
      <c r="L61" s="202">
        <f>('Water Production Budget'!K4)*1000</f>
        <v>118441.136</v>
      </c>
      <c r="M61" s="202">
        <f>('Water Production Budget'!L4)*1000</f>
        <v>116407.36900000001</v>
      </c>
      <c r="N61" s="202">
        <f>('Water Production Budget'!M4)*1000</f>
        <v>140380.33399999997</v>
      </c>
      <c r="O61" s="178"/>
      <c r="P61" s="178"/>
      <c r="Q61" s="178"/>
      <c r="R61" s="178"/>
      <c r="S61" s="178"/>
      <c r="T61" s="178"/>
      <c r="U61" s="178"/>
      <c r="V61" s="178"/>
      <c r="W61" s="178"/>
      <c r="X61" s="178"/>
      <c r="Y61" s="178"/>
      <c r="Z61" s="178"/>
    </row>
    <row r="62" spans="1:26" s="67" customFormat="1" ht="13.5" customHeight="1" thickTop="1" thickBot="1">
      <c r="A62" s="50" t="s">
        <v>130</v>
      </c>
      <c r="B62" s="51" t="s">
        <v>125</v>
      </c>
      <c r="C62" s="52">
        <f>SUM(C58:C60)/C61</f>
        <v>23.317805303319844</v>
      </c>
      <c r="D62" s="52">
        <f t="shared" ref="D62:N62" si="5">SUM(D58:D60)/D61</f>
        <v>24.219150848811978</v>
      </c>
      <c r="E62" s="52">
        <f t="shared" si="5"/>
        <v>25.248191487417611</v>
      </c>
      <c r="F62" s="52">
        <f t="shared" si="5"/>
        <v>17.764656176565065</v>
      </c>
      <c r="G62" s="52">
        <f t="shared" si="5"/>
        <v>31.356104983695317</v>
      </c>
      <c r="H62" s="52">
        <f t="shared" si="5"/>
        <v>16.780730762151059</v>
      </c>
      <c r="I62" s="52">
        <f t="shared" si="5"/>
        <v>17.75701363556</v>
      </c>
      <c r="J62" s="52">
        <f t="shared" si="5"/>
        <v>16.183988362040939</v>
      </c>
      <c r="K62" s="52">
        <f t="shared" si="5"/>
        <v>20.742217897659724</v>
      </c>
      <c r="L62" s="52">
        <f t="shared" si="5"/>
        <v>39.730119440934772</v>
      </c>
      <c r="M62" s="52">
        <f t="shared" si="5"/>
        <v>40.368228234760636</v>
      </c>
      <c r="N62" s="52">
        <f t="shared" si="5"/>
        <v>33.443351545238528</v>
      </c>
      <c r="O62" s="66"/>
      <c r="P62" s="66"/>
      <c r="Q62" s="66"/>
      <c r="R62" s="66"/>
      <c r="S62" s="66"/>
      <c r="T62" s="66"/>
      <c r="U62" s="66"/>
      <c r="V62" s="66"/>
      <c r="W62" s="66"/>
      <c r="X62" s="66"/>
      <c r="Y62" s="66"/>
      <c r="Z62" s="66"/>
    </row>
    <row r="63" spans="1:26" s="67" customFormat="1" ht="13.5" customHeight="1">
      <c r="A63" s="183"/>
      <c r="B63" s="184"/>
      <c r="C63" s="195"/>
      <c r="D63" s="195"/>
      <c r="E63" s="195"/>
      <c r="F63" s="195"/>
      <c r="G63" s="195"/>
      <c r="H63" s="195"/>
      <c r="I63" s="195"/>
      <c r="J63" s="195"/>
      <c r="K63" s="195"/>
      <c r="L63" s="195"/>
      <c r="M63" s="195"/>
      <c r="N63" s="195"/>
      <c r="O63" s="66"/>
      <c r="P63" s="66"/>
      <c r="Q63" s="66"/>
      <c r="R63" s="66"/>
      <c r="S63" s="66"/>
      <c r="T63" s="66"/>
      <c r="U63" s="66"/>
      <c r="V63" s="66"/>
      <c r="W63" s="66"/>
      <c r="X63" s="66"/>
      <c r="Y63" s="66"/>
      <c r="Z63" s="66"/>
    </row>
    <row r="64" spans="1:26" s="117" customFormat="1" ht="13.5" customHeight="1">
      <c r="A64" s="91" t="s">
        <v>133</v>
      </c>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row>
    <row r="65" spans="1:26" s="118" customFormat="1" ht="13.5" customHeight="1">
      <c r="A65" s="91" t="s">
        <v>120</v>
      </c>
      <c r="B65" s="91"/>
      <c r="C65" s="101" t="s">
        <v>43</v>
      </c>
      <c r="D65" s="101" t="s">
        <v>44</v>
      </c>
      <c r="E65" s="101" t="s">
        <v>45</v>
      </c>
      <c r="F65" s="101" t="s">
        <v>46</v>
      </c>
      <c r="G65" s="101" t="s">
        <v>47</v>
      </c>
      <c r="H65" s="101" t="s">
        <v>48</v>
      </c>
      <c r="I65" s="101" t="s">
        <v>49</v>
      </c>
      <c r="J65" s="101" t="s">
        <v>50</v>
      </c>
      <c r="K65" s="101" t="s">
        <v>51</v>
      </c>
      <c r="L65" s="101" t="s">
        <v>52</v>
      </c>
      <c r="M65" s="101" t="s">
        <v>53</v>
      </c>
      <c r="N65" s="101" t="s">
        <v>54</v>
      </c>
      <c r="O65" s="89"/>
      <c r="P65" s="89"/>
      <c r="Q65" s="89"/>
      <c r="R65" s="89"/>
      <c r="S65" s="89"/>
      <c r="T65" s="89"/>
      <c r="U65" s="89"/>
      <c r="V65" s="89"/>
      <c r="W65" s="89"/>
      <c r="X65" s="89"/>
      <c r="Y65" s="89"/>
      <c r="Z65" s="89"/>
    </row>
    <row r="66" spans="1:26" s="108" customFormat="1" ht="13.5" customHeight="1">
      <c r="A66" s="190" t="s">
        <v>111</v>
      </c>
      <c r="B66" s="190" t="s">
        <v>122</v>
      </c>
      <c r="C66" s="191">
        <f>SUMIF('Variance Analysis'!$B$22:$B$24,"Overheads",'Variance Analysis'!C$22:C$24)</f>
        <v>18333234.599999998</v>
      </c>
      <c r="D66" s="191">
        <f>SUMIF('Variance Analysis'!$B$22:$B$24,"Overheads",'Variance Analysis'!D$22:D$24)</f>
        <v>18175809.440000001</v>
      </c>
      <c r="E66" s="191">
        <f>SUMIF('Variance Analysis'!$B$22:$B$24,"Overheads",'Variance Analysis'!E$22:E$24)</f>
        <v>24520840.240000002</v>
      </c>
      <c r="F66" s="191">
        <f>SUMIF('Variance Analysis'!$B$22:$B$24,"Overheads",'Variance Analysis'!F$22:F$24)</f>
        <v>24546501.299999997</v>
      </c>
      <c r="G66" s="191">
        <f>SUMIF('Variance Analysis'!$B$22:$B$24,"Overheads",'Variance Analysis'!G$22:G$24)</f>
        <v>26304420.650000002</v>
      </c>
      <c r="H66" s="191">
        <f>SUMIF('Variance Analysis'!$B$22:$B$24,"Overheads",'Variance Analysis'!H$22:H$24)</f>
        <v>17038222.419999998</v>
      </c>
      <c r="I66" s="191">
        <f>SUMIF('Variance Analysis'!$B$22:$B$24,"Overheads",'Variance Analysis'!I$22:I$24)</f>
        <v>15566958.25</v>
      </c>
      <c r="J66" s="191">
        <f>SUMIF('Variance Analysis'!$B$22:$B$24,"Overheads",'Variance Analysis'!J$22:J$24)</f>
        <v>15139947.07</v>
      </c>
      <c r="K66" s="191">
        <f>SUMIF('Variance Analysis'!$B$22:$B$24,"Overheads",'Variance Analysis'!K$22:K$24)</f>
        <v>16394331.83</v>
      </c>
      <c r="L66" s="191">
        <f>SUMIF('Variance Analysis'!$B$22:$B$24,"Overheads",'Variance Analysis'!L$22:L$24)</f>
        <v>18260204.530000001</v>
      </c>
      <c r="M66" s="191">
        <f>SUMIF('Variance Analysis'!$B$22:$B$24,"Overheads",'Variance Analysis'!M$22:M$24)</f>
        <v>18516572.860000003</v>
      </c>
      <c r="N66" s="191">
        <f>SUMIF('Variance Analysis'!$B$22:$B$24,"Overheads",'Variance Analysis'!N$22:N$24)</f>
        <v>20655581.139999997</v>
      </c>
      <c r="O66" s="178"/>
      <c r="P66" s="178"/>
      <c r="Q66" s="178"/>
      <c r="R66" s="178"/>
      <c r="S66" s="178"/>
      <c r="T66" s="178"/>
      <c r="U66" s="178"/>
      <c r="V66" s="178"/>
      <c r="W66" s="178"/>
      <c r="X66" s="178"/>
      <c r="Y66" s="178"/>
      <c r="Z66" s="178"/>
    </row>
    <row r="67" spans="1:26" s="108" customFormat="1" ht="13.5" customHeight="1">
      <c r="A67" s="190" t="s">
        <v>112</v>
      </c>
      <c r="B67" s="190" t="s">
        <v>122</v>
      </c>
      <c r="C67" s="191">
        <f>SUMIF('Variance Analysis'!$B$22:$B$24,"Production",'Variance Analysis'!C$22:C$24)</f>
        <v>350895</v>
      </c>
      <c r="D67" s="191">
        <f>SUMIF('Variance Analysis'!$B$22:$B$24,"Production",'Variance Analysis'!D$22:D$24)</f>
        <v>350895</v>
      </c>
      <c r="E67" s="191">
        <f>SUMIF('Variance Analysis'!$B$22:$B$24,"Production",'Variance Analysis'!E$22:E$24)</f>
        <v>350895</v>
      </c>
      <c r="F67" s="191">
        <f>SUMIF('Variance Analysis'!$B$22:$B$24,"Production",'Variance Analysis'!F$22:F$24)</f>
        <v>342470</v>
      </c>
      <c r="G67" s="191">
        <f>SUMIF('Variance Analysis'!$B$22:$B$24,"Production",'Variance Analysis'!G$22:G$24)</f>
        <v>342470</v>
      </c>
      <c r="H67" s="191">
        <f>SUMIF('Variance Analysis'!$B$22:$B$24,"Production",'Variance Analysis'!H$22:H$24)</f>
        <v>763807</v>
      </c>
      <c r="I67" s="191">
        <f>SUMIF('Variance Analysis'!$B$22:$B$24,"Production",'Variance Analysis'!I$22:I$24)</f>
        <v>763807</v>
      </c>
      <c r="J67" s="191">
        <f>SUMIF('Variance Analysis'!$B$22:$B$24,"Production",'Variance Analysis'!J$22:J$24)</f>
        <v>1166828</v>
      </c>
      <c r="K67" s="191">
        <f>SUMIF('Variance Analysis'!$B$22:$B$24,"Production",'Variance Analysis'!K$22:K$24)</f>
        <v>1166828</v>
      </c>
      <c r="L67" s="191">
        <f>SUMIF('Variance Analysis'!$B$22:$B$24,"Production",'Variance Analysis'!L$22:L$24)</f>
        <v>342470</v>
      </c>
      <c r="M67" s="191">
        <f>SUMIF('Variance Analysis'!$B$22:$B$24,"Production",'Variance Analysis'!M$22:M$24)</f>
        <v>342470</v>
      </c>
      <c r="N67" s="191">
        <f>SUMIF('Variance Analysis'!$B$22:$B$24,"Production",'Variance Analysis'!N$22:N$24)</f>
        <v>342470</v>
      </c>
      <c r="O67" s="178"/>
      <c r="P67" s="178"/>
      <c r="Q67" s="178"/>
      <c r="R67" s="178"/>
      <c r="S67" s="178"/>
      <c r="T67" s="178"/>
      <c r="U67" s="178"/>
      <c r="V67" s="178"/>
      <c r="W67" s="178"/>
      <c r="X67" s="178"/>
      <c r="Y67" s="178"/>
      <c r="Z67" s="178"/>
    </row>
    <row r="68" spans="1:26" s="108" customFormat="1" ht="13.5" customHeight="1">
      <c r="A68" s="190" t="s">
        <v>113</v>
      </c>
      <c r="B68" s="190" t="s">
        <v>122</v>
      </c>
      <c r="C68" s="191">
        <f>SUMIF('Variance Analysis'!$B$22:$B$24,"Production Other",'Variance Analysis'!C$22:C$24)</f>
        <v>513912.54</v>
      </c>
      <c r="D68" s="191">
        <f>SUMIF('Variance Analysis'!$B$22:$B$24,"Production Other",'Variance Analysis'!D$22:D$24)</f>
        <v>518662.54</v>
      </c>
      <c r="E68" s="191">
        <f>SUMIF('Variance Analysis'!$B$22:$B$24,"Production Other",'Variance Analysis'!E$22:E$24)</f>
        <v>513836.27999999997</v>
      </c>
      <c r="F68" s="191">
        <f>SUMIF('Variance Analysis'!$B$22:$B$24,"Production Other",'Variance Analysis'!F$22:F$24)</f>
        <v>513912.54</v>
      </c>
      <c r="G68" s="191">
        <f>SUMIF('Variance Analysis'!$B$22:$B$24,"Production Other",'Variance Analysis'!G$22:G$24)</f>
        <v>513912.54</v>
      </c>
      <c r="H68" s="191">
        <f>SUMIF('Variance Analysis'!$B$22:$B$24,"Production Other",'Variance Analysis'!H$22:H$24)</f>
        <v>513912.54</v>
      </c>
      <c r="I68" s="191">
        <f>SUMIF('Variance Analysis'!$B$22:$B$24,"Production Other",'Variance Analysis'!I$22:I$24)</f>
        <v>513912.54</v>
      </c>
      <c r="J68" s="191">
        <f>SUMIF('Variance Analysis'!$B$22:$B$24,"Production Other",'Variance Analysis'!J$22:J$24)</f>
        <v>518662.54</v>
      </c>
      <c r="K68" s="191">
        <f>SUMIF('Variance Analysis'!$B$22:$B$24,"Production Other",'Variance Analysis'!K$22:K$24)</f>
        <v>513912.54</v>
      </c>
      <c r="L68" s="191">
        <f>SUMIF('Variance Analysis'!$B$22:$B$24,"Production Other",'Variance Analysis'!L$22:L$24)</f>
        <v>513912.54</v>
      </c>
      <c r="M68" s="191">
        <f>SUMIF('Variance Analysis'!$B$22:$B$24,"Production Other",'Variance Analysis'!M$22:M$24)</f>
        <v>513912.54</v>
      </c>
      <c r="N68" s="191">
        <f>SUMIF('Variance Analysis'!$B$22:$B$24,"Production Other",'Variance Analysis'!N$22:N$24)</f>
        <v>513912.54</v>
      </c>
      <c r="O68" s="178"/>
      <c r="P68" s="178"/>
      <c r="Q68" s="178"/>
      <c r="R68" s="178"/>
      <c r="S68" s="178"/>
      <c r="T68" s="178"/>
      <c r="U68" s="178"/>
      <c r="V68" s="178"/>
      <c r="W68" s="178"/>
      <c r="X68" s="178"/>
      <c r="Y68" s="178"/>
      <c r="Z68" s="178"/>
    </row>
    <row r="69" spans="1:26" s="108" customFormat="1" ht="13.5" customHeight="1">
      <c r="A69" s="190" t="s">
        <v>55</v>
      </c>
      <c r="B69" s="190" t="s">
        <v>123</v>
      </c>
      <c r="C69" s="202">
        <f>C45</f>
        <v>171933.291</v>
      </c>
      <c r="D69" s="202">
        <f t="shared" ref="D69:N69" si="6">D45</f>
        <v>185443.943</v>
      </c>
      <c r="E69" s="202">
        <f t="shared" si="6"/>
        <v>186773.65699999998</v>
      </c>
      <c r="F69" s="202">
        <f t="shared" si="6"/>
        <v>190541.09299999999</v>
      </c>
      <c r="G69" s="202">
        <f t="shared" si="6"/>
        <v>95096.062000000005</v>
      </c>
      <c r="H69" s="202">
        <f t="shared" si="6"/>
        <v>184306.853</v>
      </c>
      <c r="I69" s="202">
        <f t="shared" si="6"/>
        <v>181901.43900000001</v>
      </c>
      <c r="J69" s="202">
        <f t="shared" si="6"/>
        <v>149586.76500000001</v>
      </c>
      <c r="K69" s="202">
        <f t="shared" si="6"/>
        <v>181403.67599999998</v>
      </c>
      <c r="L69" s="202">
        <f t="shared" si="6"/>
        <v>171057.864</v>
      </c>
      <c r="M69" s="202">
        <f t="shared" si="6"/>
        <v>165286.99900000001</v>
      </c>
      <c r="N69" s="202">
        <f t="shared" si="6"/>
        <v>149508.717</v>
      </c>
      <c r="O69" s="178"/>
      <c r="P69" s="178"/>
      <c r="Q69" s="178"/>
      <c r="R69" s="178"/>
      <c r="S69" s="178"/>
      <c r="T69" s="178"/>
      <c r="U69" s="178"/>
      <c r="V69" s="178"/>
      <c r="W69" s="178"/>
      <c r="X69" s="178"/>
      <c r="Y69" s="178"/>
      <c r="Z69" s="178"/>
    </row>
    <row r="70" spans="1:26" s="108" customFormat="1" ht="13.5" customHeight="1">
      <c r="A70" s="190" t="s">
        <v>69</v>
      </c>
      <c r="B70" s="190" t="s">
        <v>123</v>
      </c>
      <c r="C70" s="202">
        <f>C53</f>
        <v>211968.99900000001</v>
      </c>
      <c r="D70" s="202">
        <f t="shared" ref="D70:N70" si="7">D53</f>
        <v>224199.05100000001</v>
      </c>
      <c r="E70" s="202">
        <f t="shared" si="7"/>
        <v>220536.46699999998</v>
      </c>
      <c r="F70" s="202">
        <f t="shared" si="7"/>
        <v>306760.27599999995</v>
      </c>
      <c r="G70" s="202">
        <f t="shared" si="7"/>
        <v>260052.864</v>
      </c>
      <c r="H70" s="202">
        <f t="shared" si="7"/>
        <v>240210.16</v>
      </c>
      <c r="I70" s="202">
        <f t="shared" si="7"/>
        <v>258160.549</v>
      </c>
      <c r="J70" s="202">
        <f t="shared" si="7"/>
        <v>310884.52399999998</v>
      </c>
      <c r="K70" s="202">
        <f t="shared" si="7"/>
        <v>347651.00599999999</v>
      </c>
      <c r="L70" s="202">
        <f t="shared" si="7"/>
        <v>271990.16599999997</v>
      </c>
      <c r="M70" s="202">
        <f t="shared" si="7"/>
        <v>301185.12999999995</v>
      </c>
      <c r="N70" s="202">
        <f t="shared" si="7"/>
        <v>299782.89299999998</v>
      </c>
      <c r="O70" s="178"/>
      <c r="P70" s="178"/>
      <c r="Q70" s="178"/>
      <c r="R70" s="178"/>
      <c r="S70" s="178"/>
      <c r="T70" s="178"/>
      <c r="U70" s="178"/>
      <c r="V70" s="178"/>
      <c r="W70" s="178"/>
      <c r="X70" s="178"/>
      <c r="Y70" s="178"/>
      <c r="Z70" s="178"/>
    </row>
    <row r="71" spans="1:26" s="108" customFormat="1" ht="13.5" customHeight="1" thickBot="1">
      <c r="A71" s="190" t="s">
        <v>84</v>
      </c>
      <c r="B71" s="190" t="s">
        <v>123</v>
      </c>
      <c r="C71" s="202">
        <f>C61</f>
        <v>234241.99100000001</v>
      </c>
      <c r="D71" s="202">
        <f t="shared" ref="D71:N71" si="8">D61</f>
        <v>203740.70300000001</v>
      </c>
      <c r="E71" s="202">
        <f t="shared" si="8"/>
        <v>192235.46099999998</v>
      </c>
      <c r="F71" s="202">
        <f t="shared" si="8"/>
        <v>176369.56599999999</v>
      </c>
      <c r="G71" s="202">
        <f t="shared" si="8"/>
        <v>206091.05</v>
      </c>
      <c r="H71" s="202">
        <f t="shared" si="8"/>
        <v>141321.56660000002</v>
      </c>
      <c r="I71" s="202">
        <f t="shared" si="8"/>
        <v>214202.497</v>
      </c>
      <c r="J71" s="202">
        <f t="shared" si="8"/>
        <v>211430.19899999999</v>
      </c>
      <c r="K71" s="202">
        <f t="shared" si="8"/>
        <v>141814.217</v>
      </c>
      <c r="L71" s="202">
        <f t="shared" si="8"/>
        <v>118441.136</v>
      </c>
      <c r="M71" s="202">
        <f t="shared" si="8"/>
        <v>116407.36900000001</v>
      </c>
      <c r="N71" s="202">
        <f t="shared" si="8"/>
        <v>140380.33399999997</v>
      </c>
      <c r="O71" s="178"/>
      <c r="P71" s="178"/>
      <c r="Q71" s="178"/>
      <c r="R71" s="178"/>
      <c r="S71" s="178"/>
      <c r="T71" s="178"/>
      <c r="U71" s="178"/>
      <c r="V71" s="178"/>
      <c r="W71" s="178"/>
      <c r="X71" s="178"/>
      <c r="Y71" s="178"/>
      <c r="Z71" s="178"/>
    </row>
    <row r="72" spans="1:26" s="67" customFormat="1" ht="13.5" customHeight="1" thickTop="1" thickBot="1">
      <c r="A72" s="50" t="s">
        <v>130</v>
      </c>
      <c r="B72" s="51" t="s">
        <v>125</v>
      </c>
      <c r="C72" s="52">
        <f>(SUM(C66:C68)/SUM(C69:C71))</f>
        <v>31.057542276282895</v>
      </c>
      <c r="D72" s="52">
        <f t="shared" ref="D72:N72" si="9">(SUM(D66:D68)/SUM(D69:D71))</f>
        <v>31.049679137461652</v>
      </c>
      <c r="E72" s="52">
        <f t="shared" si="9"/>
        <v>42.341353443541756</v>
      </c>
      <c r="F72" s="52">
        <f t="shared" si="9"/>
        <v>37.708148771476978</v>
      </c>
      <c r="G72" s="52">
        <f t="shared" si="9"/>
        <v>48.394277584389322</v>
      </c>
      <c r="H72" s="52">
        <f t="shared" si="9"/>
        <v>32.369553120516841</v>
      </c>
      <c r="I72" s="52">
        <f t="shared" si="9"/>
        <v>25.745976094056214</v>
      </c>
      <c r="J72" s="52">
        <f t="shared" si="9"/>
        <v>25.041524554563868</v>
      </c>
      <c r="K72" s="52">
        <f t="shared" si="9"/>
        <v>26.942778830473102</v>
      </c>
      <c r="L72" s="52">
        <f t="shared" si="9"/>
        <v>34.046226049533431</v>
      </c>
      <c r="M72" s="52">
        <f t="shared" si="9"/>
        <v>33.236638904736367</v>
      </c>
      <c r="N72" s="52">
        <f t="shared" si="9"/>
        <v>36.481239948563669</v>
      </c>
      <c r="O72" s="66"/>
      <c r="P72" s="66"/>
      <c r="Q72" s="66"/>
      <c r="R72" s="66"/>
      <c r="S72" s="66"/>
      <c r="T72" s="66"/>
      <c r="U72" s="66"/>
      <c r="V72" s="66"/>
      <c r="W72" s="66"/>
      <c r="X72" s="66"/>
      <c r="Y72" s="66"/>
      <c r="Z72" s="66"/>
    </row>
    <row r="73" spans="1:26" ht="13.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s="143" customFormat="1" ht="39.950000000000003" customHeight="1">
      <c r="A74" s="199" t="s">
        <v>134</v>
      </c>
      <c r="B74" s="200"/>
      <c r="C74" s="201"/>
      <c r="D74" s="201"/>
      <c r="E74" s="201"/>
      <c r="F74" s="201"/>
      <c r="G74" s="201"/>
      <c r="H74" s="201"/>
      <c r="I74" s="201"/>
      <c r="J74" s="201"/>
      <c r="K74" s="201"/>
      <c r="L74" s="201"/>
      <c r="M74" s="201"/>
      <c r="N74" s="201"/>
    </row>
    <row r="75" spans="1:26" ht="13.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3.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3.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c r="A78" s="66"/>
      <c r="B78" s="66"/>
      <c r="C78" s="66"/>
      <c r="D78" s="66"/>
      <c r="E78" s="66"/>
      <c r="F78" s="66"/>
      <c r="G78" s="66"/>
      <c r="H78" s="257"/>
      <c r="I78" s="257"/>
      <c r="J78" s="257"/>
      <c r="K78" s="66"/>
      <c r="L78" s="66"/>
      <c r="M78" s="66"/>
      <c r="N78" s="66"/>
      <c r="O78" s="66"/>
      <c r="P78" s="66"/>
      <c r="Q78" s="66"/>
      <c r="R78" s="66"/>
      <c r="S78" s="66"/>
      <c r="T78" s="66"/>
      <c r="U78" s="66"/>
      <c r="V78" s="66"/>
      <c r="W78" s="66"/>
      <c r="X78" s="66"/>
      <c r="Y78" s="66"/>
      <c r="Z78" s="66"/>
    </row>
    <row r="79" spans="1:26">
      <c r="A79" s="66"/>
      <c r="B79" s="66"/>
      <c r="C79" s="66"/>
      <c r="D79" s="66"/>
      <c r="E79" s="66"/>
      <c r="F79" s="66"/>
      <c r="G79" s="66"/>
      <c r="H79" s="257"/>
      <c r="I79" s="257"/>
      <c r="J79" s="257"/>
      <c r="K79" s="66"/>
      <c r="L79" s="66"/>
      <c r="M79" s="66"/>
      <c r="N79" s="66"/>
      <c r="O79" s="66"/>
      <c r="P79" s="66"/>
      <c r="Q79" s="66"/>
      <c r="R79" s="66"/>
      <c r="S79" s="66"/>
      <c r="T79" s="66"/>
      <c r="U79" s="66"/>
      <c r="V79" s="66"/>
      <c r="W79" s="66"/>
      <c r="X79" s="66"/>
      <c r="Y79" s="66"/>
      <c r="Z79" s="66"/>
    </row>
    <row r="80" spans="1:26">
      <c r="A80" s="66"/>
      <c r="B80" s="66"/>
      <c r="C80" s="66"/>
      <c r="D80" s="66"/>
      <c r="E80" s="66"/>
      <c r="F80" s="66"/>
      <c r="G80" s="66"/>
      <c r="H80" s="257"/>
      <c r="I80" s="257"/>
      <c r="J80" s="257"/>
      <c r="K80" s="66"/>
      <c r="L80" s="66"/>
      <c r="M80" s="66"/>
      <c r="N80" s="66"/>
      <c r="O80" s="66"/>
      <c r="P80" s="66"/>
      <c r="Q80" s="66"/>
      <c r="R80" s="66"/>
      <c r="S80" s="66"/>
      <c r="T80" s="66"/>
      <c r="U80" s="66"/>
      <c r="V80" s="66"/>
      <c r="W80" s="66"/>
      <c r="X80" s="66"/>
      <c r="Y80" s="66"/>
      <c r="Z80" s="66"/>
    </row>
    <row r="81" spans="1:26">
      <c r="A81" s="66"/>
      <c r="B81" s="66"/>
      <c r="C81" s="66"/>
      <c r="D81" s="66"/>
      <c r="E81" s="66"/>
      <c r="F81" s="66"/>
      <c r="G81" s="66"/>
      <c r="H81" s="257"/>
      <c r="I81" s="257"/>
      <c r="J81" s="257"/>
      <c r="K81" s="66"/>
      <c r="L81" s="66"/>
      <c r="M81" s="66"/>
      <c r="N81" s="66"/>
      <c r="O81" s="66"/>
      <c r="P81" s="66"/>
      <c r="Q81" s="66"/>
      <c r="R81" s="66"/>
      <c r="S81" s="66"/>
      <c r="T81" s="66"/>
      <c r="U81" s="66"/>
      <c r="V81" s="66"/>
      <c r="W81" s="66"/>
      <c r="X81" s="66"/>
      <c r="Y81" s="66"/>
      <c r="Z81" s="66"/>
    </row>
    <row r="82" spans="1:26">
      <c r="A82" s="66"/>
      <c r="B82" s="66"/>
      <c r="C82" s="66"/>
      <c r="D82" s="66"/>
      <c r="E82" s="66"/>
      <c r="F82" s="66"/>
      <c r="G82" s="66"/>
      <c r="H82" s="257"/>
      <c r="I82" s="257"/>
      <c r="J82" s="257"/>
      <c r="K82" s="66"/>
      <c r="L82" s="66"/>
      <c r="M82" s="66"/>
      <c r="N82" s="66"/>
      <c r="O82" s="66"/>
      <c r="P82" s="66"/>
      <c r="Q82" s="66"/>
      <c r="R82" s="66"/>
      <c r="S82" s="66"/>
      <c r="T82" s="66"/>
      <c r="U82" s="66"/>
      <c r="V82" s="66"/>
      <c r="W82" s="66"/>
      <c r="X82" s="66"/>
      <c r="Y82" s="66"/>
      <c r="Z82" s="66"/>
    </row>
    <row r="83" spans="1:26">
      <c r="A83" s="66"/>
      <c r="B83" s="66"/>
      <c r="C83" s="66"/>
      <c r="D83" s="66"/>
      <c r="E83" s="66"/>
      <c r="F83" s="66"/>
      <c r="G83" s="66"/>
      <c r="H83" s="257"/>
      <c r="I83" s="257"/>
      <c r="J83" s="257"/>
      <c r="K83" s="66"/>
      <c r="L83" s="66"/>
      <c r="M83" s="66"/>
      <c r="N83" s="66"/>
      <c r="O83" s="66"/>
      <c r="P83" s="66"/>
      <c r="Q83" s="66"/>
      <c r="R83" s="66"/>
      <c r="S83" s="66"/>
      <c r="T83" s="66"/>
      <c r="U83" s="66"/>
      <c r="V83" s="66"/>
      <c r="W83" s="66"/>
      <c r="X83" s="66"/>
      <c r="Y83" s="66"/>
      <c r="Z83" s="66"/>
    </row>
    <row r="84" spans="1:26">
      <c r="A84" s="66"/>
      <c r="B84" s="66"/>
      <c r="C84" s="66"/>
      <c r="D84" s="66"/>
      <c r="E84" s="66"/>
      <c r="F84" s="66"/>
      <c r="G84" s="66"/>
      <c r="H84" s="257"/>
      <c r="I84" s="257"/>
      <c r="J84" s="257"/>
      <c r="K84" s="66"/>
      <c r="L84" s="66"/>
      <c r="M84" s="66"/>
      <c r="N84" s="66"/>
      <c r="O84" s="66"/>
      <c r="P84" s="66"/>
      <c r="Q84" s="66"/>
      <c r="R84" s="66"/>
      <c r="S84" s="66"/>
      <c r="T84" s="66"/>
      <c r="U84" s="66"/>
      <c r="V84" s="66"/>
      <c r="W84" s="66"/>
      <c r="X84" s="66"/>
      <c r="Y84" s="66"/>
      <c r="Z84" s="66"/>
    </row>
    <row r="85" spans="1:26">
      <c r="A85" s="66"/>
      <c r="B85" s="66"/>
      <c r="C85" s="66"/>
      <c r="D85" s="66"/>
      <c r="E85" s="66"/>
      <c r="F85" s="66"/>
      <c r="G85" s="66"/>
      <c r="H85" s="257"/>
      <c r="I85" s="257"/>
      <c r="J85" s="257"/>
      <c r="K85" s="66"/>
      <c r="L85" s="66"/>
      <c r="M85" s="66"/>
      <c r="N85" s="66"/>
      <c r="O85" s="66"/>
      <c r="P85" s="66"/>
      <c r="Q85" s="66"/>
      <c r="R85" s="66"/>
      <c r="S85" s="66"/>
      <c r="T85" s="66"/>
      <c r="U85" s="66"/>
      <c r="V85" s="66"/>
      <c r="W85" s="66"/>
      <c r="X85" s="66"/>
      <c r="Y85" s="66"/>
      <c r="Z85" s="66"/>
    </row>
    <row r="86" spans="1:26">
      <c r="A86" s="66"/>
      <c r="B86" s="66"/>
      <c r="C86" s="66"/>
      <c r="D86" s="66"/>
      <c r="E86" s="66"/>
      <c r="F86" s="66"/>
      <c r="G86" s="66"/>
      <c r="H86" s="257"/>
      <c r="I86" s="257"/>
      <c r="J86" s="257"/>
      <c r="K86" s="66"/>
      <c r="L86" s="66"/>
      <c r="M86" s="66"/>
      <c r="N86" s="66"/>
      <c r="O86" s="66"/>
      <c r="P86" s="66"/>
      <c r="Q86" s="66"/>
      <c r="R86" s="66"/>
      <c r="S86" s="66"/>
      <c r="T86" s="66"/>
      <c r="U86" s="66"/>
      <c r="V86" s="66"/>
      <c r="W86" s="66"/>
      <c r="X86" s="66"/>
      <c r="Y86" s="66"/>
      <c r="Z86" s="66"/>
    </row>
    <row r="87" spans="1:26">
      <c r="A87" s="66"/>
      <c r="B87" s="66"/>
      <c r="C87" s="66"/>
      <c r="D87" s="66"/>
      <c r="E87" s="66"/>
      <c r="F87" s="66"/>
      <c r="G87" s="66"/>
      <c r="H87" s="257"/>
      <c r="I87" s="257"/>
      <c r="J87" s="257"/>
      <c r="K87" s="66"/>
      <c r="L87" s="66"/>
      <c r="M87" s="66"/>
      <c r="N87" s="66"/>
      <c r="O87" s="66"/>
      <c r="P87" s="66"/>
      <c r="Q87" s="66"/>
      <c r="R87" s="66"/>
      <c r="S87" s="66"/>
      <c r="T87" s="66"/>
      <c r="U87" s="66"/>
      <c r="V87" s="66"/>
      <c r="W87" s="66"/>
      <c r="X87" s="66"/>
      <c r="Y87" s="66"/>
      <c r="Z87" s="66"/>
    </row>
    <row r="88" spans="1:26">
      <c r="A88" s="66"/>
      <c r="B88" s="66"/>
      <c r="C88" s="66"/>
      <c r="D88" s="66"/>
      <c r="E88" s="66"/>
      <c r="F88" s="66"/>
      <c r="G88" s="66"/>
      <c r="H88" s="257"/>
      <c r="I88" s="257"/>
      <c r="J88" s="257"/>
      <c r="K88" s="66"/>
      <c r="L88" s="66"/>
      <c r="M88" s="66"/>
      <c r="N88" s="66"/>
      <c r="O88" s="66"/>
      <c r="P88" s="66"/>
      <c r="Q88" s="66"/>
      <c r="R88" s="66"/>
      <c r="S88" s="66"/>
      <c r="T88" s="66"/>
      <c r="U88" s="66"/>
      <c r="V88" s="66"/>
      <c r="W88" s="66"/>
      <c r="X88" s="66"/>
      <c r="Y88" s="66"/>
      <c r="Z88" s="66"/>
    </row>
    <row r="89" spans="1:26">
      <c r="A89" s="66"/>
      <c r="B89" s="66"/>
      <c r="C89" s="66"/>
      <c r="D89" s="66"/>
      <c r="E89" s="66"/>
      <c r="F89" s="66"/>
      <c r="G89" s="66"/>
      <c r="H89" s="257"/>
      <c r="I89" s="257"/>
      <c r="J89" s="257"/>
      <c r="K89" s="66"/>
      <c r="L89" s="66"/>
      <c r="M89" s="66"/>
      <c r="N89" s="66"/>
      <c r="O89" s="66"/>
      <c r="P89" s="66"/>
      <c r="Q89" s="66"/>
      <c r="R89" s="66"/>
      <c r="S89" s="66"/>
      <c r="T89" s="66"/>
      <c r="U89" s="66"/>
      <c r="V89" s="66"/>
      <c r="W89" s="66"/>
      <c r="X89" s="66"/>
      <c r="Y89" s="66"/>
      <c r="Z89" s="66"/>
    </row>
    <row r="90" spans="1:26">
      <c r="A90" s="66"/>
      <c r="B90" s="66"/>
      <c r="C90" s="66"/>
      <c r="D90" s="66"/>
      <c r="E90" s="66"/>
      <c r="F90" s="66"/>
      <c r="G90" s="66"/>
      <c r="H90" s="257"/>
      <c r="I90" s="257"/>
      <c r="J90" s="257"/>
      <c r="K90" s="66"/>
      <c r="L90" s="66"/>
      <c r="M90" s="66"/>
      <c r="N90" s="66"/>
      <c r="O90" s="66"/>
      <c r="P90" s="66"/>
      <c r="Q90" s="66"/>
      <c r="R90" s="66"/>
      <c r="S90" s="66"/>
      <c r="T90" s="66"/>
      <c r="U90" s="66"/>
      <c r="V90" s="66"/>
      <c r="W90" s="66"/>
      <c r="X90" s="66"/>
      <c r="Y90" s="66"/>
      <c r="Z90" s="66"/>
    </row>
    <row r="91" spans="1:26">
      <c r="A91" s="66"/>
      <c r="B91" s="66"/>
      <c r="C91" s="66"/>
      <c r="D91" s="66"/>
      <c r="E91" s="66"/>
      <c r="F91" s="66"/>
      <c r="G91" s="66"/>
      <c r="H91" s="257"/>
      <c r="I91" s="257"/>
      <c r="J91" s="257"/>
      <c r="K91" s="66"/>
      <c r="L91" s="66"/>
      <c r="M91" s="66"/>
      <c r="N91" s="66"/>
      <c r="O91" s="66"/>
      <c r="P91" s="66"/>
      <c r="Q91" s="66"/>
      <c r="R91" s="66"/>
      <c r="S91" s="66"/>
      <c r="T91" s="66"/>
      <c r="U91" s="66"/>
      <c r="V91" s="66"/>
      <c r="W91" s="66"/>
      <c r="X91" s="66"/>
      <c r="Y91" s="66"/>
      <c r="Z91" s="66"/>
    </row>
    <row r="92" spans="1:26">
      <c r="A92" s="66"/>
      <c r="B92" s="66"/>
      <c r="C92" s="66"/>
      <c r="D92" s="66"/>
      <c r="E92" s="66"/>
      <c r="F92" s="66"/>
      <c r="G92" s="66"/>
      <c r="H92" s="257"/>
      <c r="I92" s="257"/>
      <c r="J92" s="257"/>
      <c r="K92" s="66"/>
      <c r="L92" s="66"/>
      <c r="M92" s="66"/>
      <c r="N92" s="66"/>
      <c r="O92" s="66"/>
      <c r="P92" s="66"/>
      <c r="Q92" s="66"/>
      <c r="R92" s="66"/>
      <c r="S92" s="66"/>
      <c r="T92" s="66"/>
      <c r="U92" s="66"/>
      <c r="V92" s="66"/>
      <c r="W92" s="66"/>
      <c r="X92" s="66"/>
      <c r="Y92" s="66"/>
      <c r="Z92" s="66"/>
    </row>
    <row r="93" spans="1:26">
      <c r="A93" s="66"/>
      <c r="B93" s="66"/>
      <c r="C93" s="66"/>
      <c r="D93" s="66"/>
      <c r="E93" s="66"/>
      <c r="F93" s="66"/>
      <c r="G93" s="66"/>
      <c r="H93" s="257"/>
      <c r="I93" s="257"/>
      <c r="J93" s="257"/>
      <c r="K93" s="66"/>
      <c r="L93" s="66"/>
      <c r="M93" s="66"/>
      <c r="N93" s="66"/>
      <c r="O93" s="66"/>
      <c r="P93" s="66"/>
      <c r="Q93" s="66"/>
      <c r="R93" s="66"/>
      <c r="S93" s="66"/>
      <c r="T93" s="66"/>
      <c r="U93" s="66"/>
      <c r="V93" s="66"/>
      <c r="W93" s="66"/>
      <c r="X93" s="66"/>
      <c r="Y93" s="66"/>
      <c r="Z93" s="66"/>
    </row>
    <row r="94" spans="1:26">
      <c r="A94" s="66"/>
      <c r="B94" s="66"/>
      <c r="C94" s="66"/>
      <c r="D94" s="66"/>
      <c r="E94" s="66"/>
      <c r="F94" s="66"/>
      <c r="G94" s="66"/>
      <c r="H94" s="257"/>
      <c r="I94" s="257"/>
      <c r="J94" s="257"/>
      <c r="K94" s="66"/>
      <c r="L94" s="66"/>
      <c r="M94" s="66"/>
      <c r="N94" s="66"/>
      <c r="O94" s="66"/>
      <c r="P94" s="66"/>
      <c r="Q94" s="66"/>
      <c r="R94" s="66"/>
      <c r="S94" s="66"/>
      <c r="T94" s="66"/>
      <c r="U94" s="66"/>
      <c r="V94" s="66"/>
      <c r="W94" s="66"/>
      <c r="X94" s="66"/>
      <c r="Y94" s="66"/>
      <c r="Z94" s="66"/>
    </row>
    <row r="95" spans="1:26">
      <c r="A95" s="66"/>
      <c r="B95" s="66"/>
      <c r="C95" s="66"/>
      <c r="D95" s="66"/>
      <c r="E95" s="66"/>
      <c r="F95" s="66"/>
      <c r="G95" s="66"/>
      <c r="H95" s="257"/>
      <c r="I95" s="257"/>
      <c r="J95" s="257"/>
      <c r="K95" s="66"/>
      <c r="L95" s="66"/>
      <c r="M95" s="66"/>
      <c r="N95" s="66"/>
      <c r="O95" s="66"/>
      <c r="P95" s="66"/>
      <c r="Q95" s="66"/>
      <c r="R95" s="66"/>
      <c r="S95" s="66"/>
      <c r="T95" s="66"/>
      <c r="U95" s="66"/>
      <c r="V95" s="66"/>
      <c r="W95" s="66"/>
      <c r="X95" s="66"/>
      <c r="Y95" s="66"/>
      <c r="Z95" s="66"/>
    </row>
    <row r="96" spans="1:26">
      <c r="A96" s="66"/>
      <c r="B96" s="66"/>
      <c r="C96" s="66"/>
      <c r="D96" s="66"/>
      <c r="E96" s="66"/>
      <c r="F96" s="66"/>
      <c r="G96" s="66"/>
      <c r="H96" s="257"/>
      <c r="I96" s="257"/>
      <c r="J96" s="66"/>
      <c r="K96" s="66"/>
      <c r="L96" s="66"/>
      <c r="M96" s="66"/>
      <c r="N96" s="66"/>
      <c r="O96" s="66"/>
      <c r="P96" s="66"/>
      <c r="Q96" s="66"/>
      <c r="R96" s="66"/>
      <c r="S96" s="66"/>
      <c r="T96" s="66"/>
      <c r="U96" s="66"/>
      <c r="V96" s="66"/>
      <c r="W96" s="66"/>
      <c r="X96" s="66"/>
      <c r="Y96" s="66"/>
      <c r="Z96" s="66"/>
    </row>
    <row r="97" spans="1:26">
      <c r="A97" s="66"/>
      <c r="B97" s="66"/>
      <c r="C97" s="66"/>
      <c r="D97" s="66"/>
      <c r="E97" s="66"/>
      <c r="F97" s="66"/>
      <c r="G97" s="66"/>
      <c r="H97" s="257"/>
      <c r="I97" s="257"/>
      <c r="J97" s="66"/>
      <c r="K97" s="66"/>
      <c r="L97" s="66"/>
      <c r="M97" s="66"/>
      <c r="N97" s="66"/>
      <c r="O97" s="66"/>
      <c r="P97" s="66"/>
      <c r="Q97" s="66"/>
      <c r="R97" s="66"/>
      <c r="S97" s="66"/>
      <c r="T97" s="66"/>
      <c r="U97" s="66"/>
      <c r="V97" s="66"/>
      <c r="W97" s="66"/>
      <c r="X97" s="66"/>
      <c r="Y97" s="66"/>
      <c r="Z97" s="66"/>
    </row>
    <row r="98" spans="1:26">
      <c r="A98" s="66"/>
      <c r="B98" s="66"/>
      <c r="C98" s="66"/>
      <c r="D98" s="66"/>
      <c r="E98" s="66"/>
      <c r="F98" s="66"/>
      <c r="G98" s="66"/>
      <c r="H98" s="257"/>
      <c r="I98" s="257"/>
      <c r="J98" s="66"/>
      <c r="K98" s="66"/>
      <c r="L98" s="66"/>
      <c r="M98" s="66"/>
      <c r="N98" s="66"/>
      <c r="O98" s="66"/>
      <c r="P98" s="66"/>
      <c r="Q98" s="66"/>
      <c r="R98" s="66"/>
      <c r="S98" s="66"/>
      <c r="T98" s="66"/>
      <c r="U98" s="66"/>
      <c r="V98" s="66"/>
      <c r="W98" s="66"/>
      <c r="X98" s="66"/>
      <c r="Y98" s="66"/>
      <c r="Z98" s="66"/>
    </row>
    <row r="99" spans="1:26">
      <c r="A99" s="66"/>
      <c r="B99" s="66"/>
      <c r="C99" s="66"/>
      <c r="D99" s="66"/>
      <c r="E99" s="66"/>
      <c r="F99" s="66"/>
      <c r="G99" s="66"/>
      <c r="H99" s="257"/>
      <c r="I99" s="257"/>
      <c r="J99" s="66"/>
      <c r="K99" s="66"/>
      <c r="L99" s="66"/>
      <c r="M99" s="66"/>
      <c r="N99" s="66"/>
      <c r="O99" s="66"/>
      <c r="P99" s="66"/>
      <c r="Q99" s="66"/>
      <c r="R99" s="66"/>
      <c r="S99" s="66"/>
      <c r="T99" s="66"/>
      <c r="U99" s="66"/>
      <c r="V99" s="66"/>
      <c r="W99" s="66"/>
      <c r="X99" s="66"/>
      <c r="Y99" s="66"/>
      <c r="Z99" s="66"/>
    </row>
    <row r="100" spans="1:26">
      <c r="A100" s="66"/>
      <c r="B100" s="66"/>
      <c r="C100" s="66"/>
      <c r="D100" s="66"/>
      <c r="E100" s="66"/>
      <c r="F100" s="66"/>
      <c r="G100" s="66"/>
      <c r="H100" s="257"/>
      <c r="I100" s="257"/>
      <c r="J100" s="66"/>
      <c r="K100" s="66"/>
      <c r="L100" s="66"/>
      <c r="M100" s="66"/>
      <c r="N100" s="66"/>
      <c r="O100" s="66"/>
      <c r="P100" s="66"/>
      <c r="Q100" s="66"/>
      <c r="R100" s="66"/>
      <c r="S100" s="66"/>
      <c r="T100" s="66"/>
      <c r="U100" s="66"/>
      <c r="V100" s="66"/>
      <c r="W100" s="66"/>
      <c r="X100" s="66"/>
      <c r="Y100" s="66"/>
      <c r="Z100" s="66"/>
    </row>
    <row r="101" spans="1:26">
      <c r="A101" s="66"/>
      <c r="B101" s="66"/>
      <c r="C101" s="66"/>
      <c r="D101" s="66"/>
      <c r="E101" s="66"/>
      <c r="F101" s="66"/>
      <c r="G101" s="66"/>
      <c r="H101" s="257"/>
      <c r="I101" s="257"/>
      <c r="J101" s="66"/>
      <c r="K101" s="66"/>
      <c r="L101" s="66"/>
      <c r="M101" s="66"/>
      <c r="N101" s="66"/>
      <c r="O101" s="66"/>
      <c r="P101" s="66"/>
      <c r="Q101" s="66"/>
      <c r="R101" s="66"/>
      <c r="S101" s="66"/>
      <c r="T101" s="66"/>
      <c r="U101" s="66"/>
      <c r="V101" s="66"/>
      <c r="W101" s="66"/>
      <c r="X101" s="66"/>
      <c r="Y101" s="66"/>
      <c r="Z101" s="66"/>
    </row>
    <row r="102" spans="1:26">
      <c r="A102" s="66"/>
      <c r="B102" s="66"/>
      <c r="C102" s="66"/>
      <c r="D102" s="66"/>
      <c r="E102" s="66"/>
      <c r="F102" s="66"/>
      <c r="G102" s="66"/>
      <c r="H102" s="257"/>
      <c r="I102" s="257"/>
      <c r="J102" s="66"/>
      <c r="K102" s="66"/>
      <c r="L102" s="66"/>
      <c r="M102" s="66"/>
      <c r="N102" s="66"/>
      <c r="O102" s="66"/>
      <c r="P102" s="66"/>
      <c r="Q102" s="66"/>
      <c r="R102" s="66"/>
      <c r="S102" s="66"/>
      <c r="T102" s="66"/>
      <c r="U102" s="66"/>
      <c r="V102" s="66"/>
      <c r="W102" s="66"/>
      <c r="X102" s="66"/>
      <c r="Y102" s="66"/>
      <c r="Z102" s="66"/>
    </row>
    <row r="103" spans="1:26">
      <c r="A103" s="66"/>
      <c r="B103" s="66"/>
      <c r="C103" s="66"/>
      <c r="D103" s="66"/>
      <c r="E103" s="66"/>
      <c r="F103" s="66"/>
      <c r="G103" s="66"/>
      <c r="H103" s="257"/>
      <c r="I103" s="257"/>
      <c r="J103" s="66"/>
      <c r="K103" s="66"/>
      <c r="L103" s="66"/>
      <c r="M103" s="66"/>
      <c r="N103" s="66"/>
      <c r="O103" s="66"/>
      <c r="P103" s="66"/>
      <c r="Q103" s="66"/>
      <c r="R103" s="66"/>
      <c r="S103" s="66"/>
      <c r="T103" s="66"/>
      <c r="U103" s="66"/>
      <c r="V103" s="66"/>
      <c r="W103" s="66"/>
      <c r="X103" s="66"/>
      <c r="Y103" s="66"/>
      <c r="Z103" s="66"/>
    </row>
    <row r="104" spans="1:26">
      <c r="A104" s="66"/>
      <c r="B104" s="66"/>
      <c r="C104" s="66"/>
      <c r="D104" s="66"/>
      <c r="E104" s="66"/>
      <c r="F104" s="66"/>
      <c r="G104" s="66"/>
      <c r="H104" s="257"/>
      <c r="I104" s="257"/>
      <c r="J104" s="66"/>
      <c r="K104" s="66"/>
      <c r="L104" s="66"/>
      <c r="M104" s="66"/>
      <c r="N104" s="66"/>
      <c r="O104" s="66"/>
      <c r="P104" s="66"/>
      <c r="Q104" s="66"/>
      <c r="R104" s="66"/>
      <c r="S104" s="66"/>
      <c r="T104" s="66"/>
      <c r="U104" s="66"/>
      <c r="V104" s="66"/>
      <c r="W104" s="66"/>
      <c r="X104" s="66"/>
      <c r="Y104" s="66"/>
      <c r="Z104" s="66"/>
    </row>
    <row r="105" spans="1:26">
      <c r="A105" s="66"/>
      <c r="B105" s="66"/>
      <c r="C105" s="66"/>
      <c r="D105" s="66"/>
      <c r="E105" s="66"/>
      <c r="F105" s="66"/>
      <c r="G105" s="66"/>
      <c r="H105" s="257"/>
      <c r="I105" s="66"/>
      <c r="J105" s="66"/>
      <c r="K105" s="66"/>
      <c r="L105" s="66"/>
      <c r="M105" s="66"/>
      <c r="N105" s="66"/>
      <c r="O105" s="66"/>
      <c r="P105" s="66"/>
      <c r="Q105" s="66"/>
      <c r="R105" s="66"/>
      <c r="S105" s="66"/>
      <c r="T105" s="66"/>
      <c r="U105" s="66"/>
      <c r="V105" s="66"/>
      <c r="W105" s="66"/>
      <c r="X105" s="66"/>
      <c r="Y105" s="66"/>
      <c r="Z105" s="66"/>
    </row>
    <row r="106" spans="1:26">
      <c r="A106" s="66"/>
      <c r="B106" s="66"/>
      <c r="C106" s="66"/>
      <c r="D106" s="66"/>
      <c r="E106" s="66"/>
      <c r="F106" s="66"/>
      <c r="G106" s="66"/>
      <c r="H106" s="257"/>
      <c r="I106" s="66"/>
      <c r="J106" s="66"/>
      <c r="K106" s="66"/>
      <c r="L106" s="66"/>
      <c r="M106" s="66"/>
      <c r="N106" s="66"/>
      <c r="O106" s="66"/>
      <c r="P106" s="66"/>
      <c r="Q106" s="66"/>
      <c r="R106" s="66"/>
      <c r="S106" s="66"/>
      <c r="T106" s="66"/>
      <c r="U106" s="66"/>
      <c r="V106" s="66"/>
      <c r="W106" s="66"/>
      <c r="X106" s="66"/>
      <c r="Y106" s="66"/>
      <c r="Z106" s="66"/>
    </row>
    <row r="107" spans="1:26">
      <c r="A107" s="66"/>
      <c r="B107" s="66"/>
      <c r="C107" s="66"/>
      <c r="D107" s="66"/>
      <c r="E107" s="66"/>
      <c r="F107" s="66"/>
      <c r="G107" s="66"/>
      <c r="H107" s="257"/>
      <c r="I107" s="66"/>
      <c r="J107" s="66"/>
      <c r="K107" s="66"/>
      <c r="L107" s="66"/>
      <c r="M107" s="66"/>
      <c r="N107" s="66"/>
      <c r="O107" s="66"/>
      <c r="P107" s="66"/>
      <c r="Q107" s="66"/>
      <c r="R107" s="66"/>
      <c r="S107" s="66"/>
      <c r="T107" s="66"/>
      <c r="U107" s="66"/>
      <c r="V107" s="66"/>
      <c r="W107" s="66"/>
      <c r="X107" s="66"/>
      <c r="Y107" s="66"/>
      <c r="Z107" s="66"/>
    </row>
    <row r="108" spans="1:26">
      <c r="A108" s="66"/>
      <c r="B108" s="66"/>
      <c r="C108" s="66"/>
      <c r="D108" s="66"/>
      <c r="E108" s="66"/>
      <c r="F108" s="66"/>
      <c r="G108" s="66"/>
      <c r="H108" s="257"/>
      <c r="I108" s="66"/>
      <c r="J108" s="66"/>
      <c r="K108" s="66"/>
      <c r="L108" s="66"/>
      <c r="M108" s="66"/>
      <c r="N108" s="66"/>
      <c r="O108" s="66"/>
      <c r="P108" s="66"/>
      <c r="Q108" s="66"/>
      <c r="R108" s="66"/>
      <c r="S108" s="66"/>
      <c r="T108" s="66"/>
      <c r="U108" s="66"/>
      <c r="V108" s="66"/>
      <c r="W108" s="66"/>
      <c r="X108" s="66"/>
      <c r="Y108" s="66"/>
      <c r="Z108" s="66"/>
    </row>
    <row r="109" spans="1:26">
      <c r="A109" s="66"/>
      <c r="B109" s="66"/>
      <c r="C109" s="66"/>
      <c r="D109" s="66"/>
      <c r="E109" s="66"/>
      <c r="F109" s="66"/>
      <c r="G109" s="66"/>
      <c r="H109" s="257"/>
      <c r="I109" s="66"/>
      <c r="J109" s="66"/>
      <c r="K109" s="66"/>
      <c r="L109" s="66"/>
      <c r="M109" s="66"/>
      <c r="N109" s="66"/>
      <c r="O109" s="66"/>
      <c r="P109" s="66"/>
      <c r="Q109" s="66"/>
      <c r="R109" s="66"/>
      <c r="S109" s="66"/>
      <c r="T109" s="66"/>
      <c r="U109" s="66"/>
      <c r="V109" s="66"/>
      <c r="W109" s="66"/>
      <c r="X109" s="66"/>
      <c r="Y109" s="66"/>
      <c r="Z109" s="66"/>
    </row>
    <row r="110" spans="1:26">
      <c r="A110" s="66"/>
      <c r="B110" s="66"/>
      <c r="C110" s="66"/>
      <c r="D110" s="66"/>
      <c r="E110" s="66"/>
      <c r="F110" s="66"/>
      <c r="G110" s="66"/>
      <c r="H110" s="257"/>
      <c r="I110" s="66"/>
      <c r="J110" s="66"/>
      <c r="K110" s="66"/>
      <c r="L110" s="66"/>
      <c r="M110" s="66"/>
      <c r="N110" s="66"/>
      <c r="O110" s="66"/>
      <c r="P110" s="66"/>
      <c r="Q110" s="66"/>
      <c r="R110" s="66"/>
      <c r="S110" s="66"/>
      <c r="T110" s="66"/>
      <c r="U110" s="66"/>
      <c r="V110" s="66"/>
      <c r="W110" s="66"/>
      <c r="X110" s="66"/>
      <c r="Y110" s="66"/>
      <c r="Z110" s="66"/>
    </row>
    <row r="111" spans="1:26">
      <c r="A111" s="66"/>
      <c r="B111" s="66"/>
      <c r="C111" s="66"/>
      <c r="D111" s="66"/>
      <c r="E111" s="66"/>
      <c r="F111" s="66"/>
      <c r="G111" s="66"/>
      <c r="H111" s="257"/>
      <c r="I111" s="66"/>
      <c r="J111" s="66"/>
      <c r="K111" s="66"/>
      <c r="L111" s="66"/>
      <c r="M111" s="66"/>
      <c r="N111" s="66"/>
      <c r="O111" s="66"/>
      <c r="P111" s="66"/>
      <c r="Q111" s="66"/>
      <c r="R111" s="66"/>
      <c r="S111" s="66"/>
      <c r="T111" s="66"/>
      <c r="U111" s="66"/>
      <c r="V111" s="66"/>
      <c r="W111" s="66"/>
      <c r="X111" s="66"/>
      <c r="Y111" s="66"/>
      <c r="Z111" s="66"/>
    </row>
    <row r="112" spans="1:26">
      <c r="A112" s="66"/>
      <c r="B112" s="66"/>
      <c r="C112" s="66"/>
      <c r="D112" s="66"/>
      <c r="E112" s="66"/>
      <c r="F112" s="66"/>
      <c r="G112" s="66"/>
      <c r="H112" s="257"/>
      <c r="I112" s="66"/>
      <c r="J112" s="66"/>
      <c r="K112" s="66"/>
      <c r="L112" s="66"/>
      <c r="M112" s="66"/>
      <c r="N112" s="66"/>
      <c r="O112" s="66"/>
      <c r="P112" s="66"/>
      <c r="Q112" s="66"/>
      <c r="R112" s="66"/>
      <c r="S112" s="66"/>
      <c r="T112" s="66"/>
      <c r="U112" s="66"/>
      <c r="V112" s="66"/>
      <c r="W112" s="66"/>
      <c r="X112" s="66"/>
      <c r="Y112" s="66"/>
      <c r="Z112" s="66"/>
    </row>
    <row r="113" spans="1:26">
      <c r="A113" s="66"/>
      <c r="B113" s="66"/>
      <c r="C113" s="66"/>
      <c r="D113" s="66"/>
      <c r="E113" s="66"/>
      <c r="F113" s="66"/>
      <c r="G113" s="66"/>
      <c r="H113" s="257"/>
      <c r="I113" s="66"/>
      <c r="J113" s="66"/>
      <c r="K113" s="66"/>
      <c r="L113" s="66"/>
      <c r="M113" s="66"/>
      <c r="N113" s="66"/>
      <c r="O113" s="66"/>
      <c r="P113" s="66"/>
      <c r="Q113" s="66"/>
      <c r="R113" s="66"/>
      <c r="S113" s="66"/>
      <c r="T113" s="66"/>
      <c r="U113" s="66"/>
      <c r="V113" s="66"/>
      <c r="W113" s="66"/>
      <c r="X113" s="66"/>
      <c r="Y113" s="66"/>
      <c r="Z113" s="66"/>
    </row>
    <row r="114" spans="1:26">
      <c r="A114" s="66"/>
      <c r="B114" s="66"/>
      <c r="C114" s="66"/>
      <c r="D114" s="66"/>
      <c r="E114" s="66"/>
      <c r="F114" s="66"/>
      <c r="G114" s="66"/>
      <c r="H114" s="257"/>
      <c r="I114" s="66"/>
      <c r="J114" s="66"/>
      <c r="K114" s="66"/>
      <c r="L114" s="66"/>
      <c r="M114" s="66"/>
      <c r="N114" s="66"/>
      <c r="O114" s="66"/>
      <c r="P114" s="66"/>
      <c r="Q114" s="66"/>
      <c r="R114" s="66"/>
      <c r="S114" s="66"/>
      <c r="T114" s="66"/>
      <c r="U114" s="66"/>
      <c r="V114" s="66"/>
      <c r="W114" s="66"/>
      <c r="X114" s="66"/>
      <c r="Y114" s="66"/>
      <c r="Z114" s="66"/>
    </row>
    <row r="115" spans="1:26">
      <c r="A115" s="66"/>
      <c r="B115" s="66"/>
      <c r="C115" s="66"/>
      <c r="D115" s="66"/>
      <c r="E115" s="66"/>
      <c r="F115" s="66"/>
      <c r="G115" s="66"/>
      <c r="H115" s="257"/>
      <c r="I115" s="66"/>
      <c r="J115" s="66"/>
      <c r="K115" s="66"/>
      <c r="L115" s="66"/>
      <c r="M115" s="66"/>
      <c r="N115" s="66"/>
      <c r="O115" s="66"/>
      <c r="P115" s="66"/>
      <c r="Q115" s="66"/>
      <c r="R115" s="66"/>
      <c r="S115" s="66"/>
      <c r="T115" s="66"/>
      <c r="U115" s="66"/>
      <c r="V115" s="66"/>
      <c r="W115" s="66"/>
      <c r="X115" s="66"/>
      <c r="Y115" s="66"/>
      <c r="Z115" s="66"/>
    </row>
    <row r="116" spans="1:26">
      <c r="A116" s="66"/>
      <c r="B116" s="66"/>
      <c r="C116" s="66"/>
      <c r="D116" s="66"/>
      <c r="E116" s="66"/>
      <c r="F116" s="66"/>
      <c r="G116" s="66"/>
      <c r="H116" s="257"/>
      <c r="I116" s="66"/>
      <c r="J116" s="66"/>
      <c r="K116" s="66"/>
      <c r="L116" s="66"/>
      <c r="M116" s="66"/>
      <c r="N116" s="66"/>
      <c r="O116" s="66"/>
      <c r="P116" s="66"/>
      <c r="Q116" s="66"/>
      <c r="R116" s="66"/>
      <c r="S116" s="66"/>
      <c r="T116" s="66"/>
      <c r="U116" s="66"/>
      <c r="V116" s="66"/>
      <c r="W116" s="66"/>
      <c r="X116" s="66"/>
      <c r="Y116" s="66"/>
      <c r="Z116" s="66"/>
    </row>
    <row r="117" spans="1:26">
      <c r="A117" s="66"/>
      <c r="B117" s="66"/>
      <c r="C117" s="66"/>
      <c r="D117" s="66"/>
      <c r="E117" s="66"/>
      <c r="F117" s="66"/>
      <c r="G117" s="66"/>
      <c r="H117" s="257"/>
      <c r="I117" s="66"/>
      <c r="J117" s="66"/>
      <c r="K117" s="66"/>
      <c r="L117" s="66"/>
      <c r="M117" s="66"/>
      <c r="N117" s="66"/>
      <c r="O117" s="66"/>
      <c r="P117" s="66"/>
      <c r="Q117" s="66"/>
      <c r="R117" s="66"/>
      <c r="S117" s="66"/>
      <c r="T117" s="66"/>
      <c r="U117" s="66"/>
      <c r="V117" s="66"/>
      <c r="W117" s="66"/>
      <c r="X117" s="66"/>
      <c r="Y117" s="66"/>
      <c r="Z117" s="66"/>
    </row>
    <row r="118" spans="1:26">
      <c r="A118" s="66"/>
      <c r="B118" s="66"/>
      <c r="C118" s="66"/>
      <c r="D118" s="66"/>
      <c r="E118" s="66"/>
      <c r="F118" s="66"/>
      <c r="G118" s="66"/>
      <c r="H118" s="257"/>
      <c r="I118" s="66"/>
      <c r="J118" s="66"/>
      <c r="K118" s="66"/>
      <c r="L118" s="66"/>
      <c r="M118" s="66"/>
      <c r="N118" s="66"/>
      <c r="O118" s="66"/>
      <c r="P118" s="66"/>
      <c r="Q118" s="66"/>
      <c r="R118" s="66"/>
      <c r="S118" s="66"/>
      <c r="T118" s="66"/>
      <c r="U118" s="66"/>
      <c r="V118" s="66"/>
      <c r="W118" s="66"/>
      <c r="X118" s="66"/>
      <c r="Y118" s="66"/>
      <c r="Z118" s="66"/>
    </row>
    <row r="119" spans="1:26">
      <c r="A119" s="66"/>
      <c r="B119" s="66"/>
      <c r="C119" s="66"/>
      <c r="D119" s="66"/>
      <c r="E119" s="66"/>
      <c r="F119" s="66"/>
      <c r="G119" s="66"/>
      <c r="H119" s="257"/>
      <c r="I119" s="66"/>
      <c r="J119" s="66"/>
      <c r="K119" s="66"/>
      <c r="L119" s="66"/>
      <c r="M119" s="66"/>
      <c r="N119" s="66"/>
      <c r="O119" s="66"/>
      <c r="P119" s="66"/>
      <c r="Q119" s="66"/>
      <c r="R119" s="66"/>
      <c r="S119" s="66"/>
      <c r="T119" s="66"/>
      <c r="U119" s="66"/>
      <c r="V119" s="66"/>
      <c r="W119" s="66"/>
      <c r="X119" s="66"/>
      <c r="Y119" s="66"/>
      <c r="Z119" s="66"/>
    </row>
    <row r="120" spans="1:26">
      <c r="A120" s="66"/>
      <c r="B120" s="66"/>
      <c r="C120" s="66"/>
      <c r="D120" s="66"/>
      <c r="E120" s="66"/>
      <c r="F120" s="66"/>
      <c r="G120" s="66"/>
      <c r="H120" s="257"/>
      <c r="I120" s="66"/>
      <c r="J120" s="66"/>
      <c r="K120" s="66"/>
      <c r="L120" s="66"/>
      <c r="M120" s="66"/>
      <c r="N120" s="66"/>
      <c r="O120" s="66"/>
      <c r="P120" s="66"/>
      <c r="Q120" s="66"/>
      <c r="R120" s="66"/>
      <c r="S120" s="66"/>
      <c r="T120" s="66"/>
      <c r="U120" s="66"/>
      <c r="V120" s="66"/>
      <c r="W120" s="66"/>
      <c r="X120" s="66"/>
      <c r="Y120" s="66"/>
      <c r="Z120" s="66"/>
    </row>
    <row r="121" spans="1:26">
      <c r="A121" s="66"/>
      <c r="B121" s="66"/>
      <c r="C121" s="66"/>
      <c r="D121" s="66"/>
      <c r="E121" s="66"/>
      <c r="F121" s="66"/>
      <c r="G121" s="66"/>
      <c r="H121" s="257"/>
      <c r="I121" s="66"/>
      <c r="J121" s="66"/>
      <c r="K121" s="66"/>
      <c r="L121" s="66"/>
      <c r="M121" s="66"/>
      <c r="N121" s="66"/>
      <c r="O121" s="66"/>
      <c r="P121" s="66"/>
      <c r="Q121" s="66"/>
      <c r="R121" s="66"/>
      <c r="S121" s="66"/>
      <c r="T121" s="66"/>
      <c r="U121" s="66"/>
      <c r="V121" s="66"/>
      <c r="W121" s="66"/>
      <c r="X121" s="66"/>
      <c r="Y121" s="66"/>
      <c r="Z121" s="66"/>
    </row>
    <row r="122" spans="1:26">
      <c r="A122" s="66"/>
      <c r="B122" s="66"/>
      <c r="C122" s="66"/>
      <c r="D122" s="66"/>
      <c r="E122" s="66"/>
      <c r="F122" s="66"/>
      <c r="G122" s="66"/>
      <c r="H122" s="257"/>
      <c r="I122" s="66"/>
      <c r="J122" s="66"/>
      <c r="K122" s="66"/>
      <c r="L122" s="66"/>
      <c r="M122" s="66"/>
      <c r="N122" s="66"/>
      <c r="O122" s="66"/>
      <c r="P122" s="66"/>
      <c r="Q122" s="66"/>
      <c r="R122" s="66"/>
      <c r="S122" s="66"/>
      <c r="T122" s="66"/>
      <c r="U122" s="66"/>
      <c r="V122" s="66"/>
      <c r="W122" s="66"/>
      <c r="X122" s="66"/>
      <c r="Y122" s="66"/>
      <c r="Z122" s="66"/>
    </row>
    <row r="123" spans="1:26">
      <c r="A123" s="66"/>
      <c r="B123" s="66"/>
      <c r="C123" s="66"/>
      <c r="D123" s="66"/>
      <c r="E123" s="66"/>
      <c r="F123" s="66"/>
      <c r="G123" s="66"/>
      <c r="H123" s="257"/>
      <c r="I123" s="66"/>
      <c r="J123" s="66"/>
      <c r="K123" s="66"/>
      <c r="L123" s="66"/>
      <c r="M123" s="66"/>
      <c r="N123" s="66"/>
      <c r="O123" s="66"/>
      <c r="P123" s="66"/>
      <c r="Q123" s="66"/>
      <c r="R123" s="66"/>
      <c r="S123" s="66"/>
      <c r="T123" s="66"/>
      <c r="U123" s="66"/>
      <c r="V123" s="66"/>
      <c r="W123" s="66"/>
      <c r="X123" s="66"/>
      <c r="Y123" s="66"/>
      <c r="Z123" s="66"/>
    </row>
    <row r="124" spans="1:26">
      <c r="A124" s="66"/>
      <c r="B124" s="66"/>
      <c r="C124" s="66"/>
      <c r="D124" s="66"/>
      <c r="E124" s="66"/>
      <c r="F124" s="66"/>
      <c r="G124" s="66"/>
      <c r="H124" s="257"/>
      <c r="I124" s="66"/>
      <c r="J124" s="66"/>
      <c r="K124" s="66"/>
      <c r="L124" s="66"/>
      <c r="M124" s="66"/>
      <c r="N124" s="66"/>
      <c r="O124" s="66"/>
      <c r="P124" s="66"/>
      <c r="Q124" s="66"/>
      <c r="R124" s="66"/>
      <c r="S124" s="66"/>
      <c r="T124" s="66"/>
      <c r="U124" s="66"/>
      <c r="V124" s="66"/>
      <c r="W124" s="66"/>
      <c r="X124" s="66"/>
      <c r="Y124" s="66"/>
      <c r="Z124" s="66"/>
    </row>
    <row r="125" spans="1:26">
      <c r="A125" s="66"/>
      <c r="B125" s="66"/>
      <c r="C125" s="66"/>
      <c r="D125" s="66"/>
      <c r="E125" s="66"/>
      <c r="F125" s="66"/>
      <c r="G125" s="66"/>
      <c r="H125" s="257"/>
      <c r="I125" s="66"/>
      <c r="J125" s="66"/>
      <c r="K125" s="66"/>
      <c r="L125" s="66"/>
      <c r="M125" s="66"/>
      <c r="N125" s="66"/>
      <c r="O125" s="66"/>
      <c r="P125" s="66"/>
      <c r="Q125" s="66"/>
      <c r="R125" s="66"/>
      <c r="S125" s="66"/>
      <c r="T125" s="66"/>
      <c r="U125" s="66"/>
      <c r="V125" s="66"/>
      <c r="W125" s="66"/>
      <c r="X125" s="66"/>
      <c r="Y125" s="66"/>
      <c r="Z125" s="66"/>
    </row>
    <row r="126" spans="1:26">
      <c r="A126" s="66"/>
      <c r="B126" s="66"/>
      <c r="C126" s="66"/>
      <c r="D126" s="66"/>
      <c r="E126" s="66"/>
      <c r="F126" s="66"/>
      <c r="G126" s="66"/>
      <c r="H126" s="257"/>
      <c r="I126" s="66"/>
      <c r="J126" s="66"/>
      <c r="K126" s="66"/>
      <c r="L126" s="66"/>
      <c r="M126" s="66"/>
      <c r="N126" s="66"/>
      <c r="O126" s="66"/>
      <c r="P126" s="66"/>
      <c r="Q126" s="66"/>
      <c r="R126" s="66"/>
      <c r="S126" s="66"/>
      <c r="T126" s="66"/>
      <c r="U126" s="66"/>
      <c r="V126" s="66"/>
      <c r="W126" s="66"/>
      <c r="X126" s="66"/>
      <c r="Y126" s="66"/>
      <c r="Z126" s="66"/>
    </row>
    <row r="127" spans="1:26">
      <c r="A127" s="66"/>
      <c r="B127" s="66"/>
      <c r="C127" s="66"/>
      <c r="D127" s="66"/>
      <c r="E127" s="66"/>
      <c r="F127" s="66"/>
      <c r="G127" s="66"/>
      <c r="H127" s="257"/>
      <c r="I127" s="66"/>
      <c r="J127" s="66"/>
      <c r="K127" s="66"/>
      <c r="L127" s="66"/>
      <c r="M127" s="66"/>
      <c r="N127" s="66"/>
      <c r="O127" s="66"/>
      <c r="P127" s="66"/>
      <c r="Q127" s="66"/>
      <c r="R127" s="66"/>
      <c r="S127" s="66"/>
      <c r="T127" s="66"/>
      <c r="U127" s="66"/>
      <c r="V127" s="66"/>
      <c r="W127" s="66"/>
      <c r="X127" s="66"/>
      <c r="Y127" s="66"/>
      <c r="Z127" s="66"/>
    </row>
    <row r="128" spans="1:26">
      <c r="A128" s="66"/>
      <c r="B128" s="66"/>
      <c r="C128" s="66"/>
      <c r="D128" s="66"/>
      <c r="E128" s="66"/>
      <c r="F128" s="66"/>
      <c r="G128" s="66"/>
      <c r="H128" s="257"/>
      <c r="I128" s="66"/>
      <c r="J128" s="66"/>
      <c r="K128" s="66"/>
      <c r="L128" s="66"/>
      <c r="M128" s="66"/>
      <c r="N128" s="66"/>
      <c r="O128" s="66"/>
      <c r="P128" s="66"/>
      <c r="Q128" s="66"/>
      <c r="R128" s="66"/>
      <c r="S128" s="66"/>
      <c r="T128" s="66"/>
      <c r="U128" s="66"/>
      <c r="V128" s="66"/>
      <c r="W128" s="66"/>
      <c r="X128" s="66"/>
      <c r="Y128" s="66"/>
      <c r="Z128" s="66"/>
    </row>
    <row r="129" spans="1:26">
      <c r="A129" s="66"/>
      <c r="B129" s="66"/>
      <c r="C129" s="66"/>
      <c r="D129" s="66"/>
      <c r="E129" s="66"/>
      <c r="F129" s="66"/>
      <c r="G129" s="66"/>
      <c r="H129" s="257"/>
      <c r="I129" s="66"/>
      <c r="J129" s="66"/>
      <c r="K129" s="66"/>
      <c r="L129" s="66"/>
      <c r="M129" s="66"/>
      <c r="N129" s="66"/>
      <c r="O129" s="66"/>
      <c r="P129" s="66"/>
      <c r="Q129" s="66"/>
      <c r="R129" s="66"/>
      <c r="S129" s="66"/>
      <c r="T129" s="66"/>
      <c r="U129" s="66"/>
      <c r="V129" s="66"/>
      <c r="W129" s="66"/>
      <c r="X129" s="66"/>
      <c r="Y129" s="66"/>
      <c r="Z129" s="66"/>
    </row>
    <row r="130" spans="1:26">
      <c r="A130" s="66"/>
      <c r="B130" s="66"/>
      <c r="C130" s="66"/>
      <c r="D130" s="66"/>
      <c r="E130" s="66"/>
      <c r="F130" s="66"/>
      <c r="G130" s="66"/>
      <c r="H130" s="257"/>
      <c r="I130" s="66"/>
      <c r="J130" s="66"/>
      <c r="K130" s="66"/>
      <c r="L130" s="66"/>
      <c r="M130" s="66"/>
      <c r="N130" s="66"/>
      <c r="O130" s="66"/>
      <c r="P130" s="66"/>
      <c r="Q130" s="66"/>
      <c r="R130" s="66"/>
      <c r="S130" s="66"/>
      <c r="T130" s="66"/>
      <c r="U130" s="66"/>
      <c r="V130" s="66"/>
      <c r="W130" s="66"/>
      <c r="X130" s="66"/>
      <c r="Y130" s="66"/>
      <c r="Z130" s="66"/>
    </row>
    <row r="131" spans="1:26">
      <c r="A131" s="66"/>
      <c r="B131" s="66"/>
      <c r="C131" s="66"/>
      <c r="D131" s="66"/>
      <c r="E131" s="66"/>
      <c r="F131" s="66"/>
      <c r="G131" s="66"/>
      <c r="H131" s="257"/>
      <c r="I131" s="66"/>
      <c r="J131" s="66"/>
      <c r="K131" s="66"/>
      <c r="L131" s="66"/>
      <c r="M131" s="66"/>
      <c r="N131" s="66"/>
      <c r="O131" s="66"/>
      <c r="P131" s="66"/>
      <c r="Q131" s="66"/>
      <c r="R131" s="66"/>
      <c r="S131" s="66"/>
      <c r="T131" s="66"/>
      <c r="U131" s="66"/>
      <c r="V131" s="66"/>
      <c r="W131" s="66"/>
      <c r="X131" s="66"/>
      <c r="Y131" s="66"/>
      <c r="Z131" s="66"/>
    </row>
    <row r="132" spans="1:26">
      <c r="A132" s="66"/>
      <c r="B132" s="66"/>
      <c r="C132" s="66"/>
      <c r="D132" s="66"/>
      <c r="E132" s="66"/>
      <c r="F132" s="66"/>
      <c r="G132" s="66"/>
      <c r="H132" s="257"/>
      <c r="I132" s="66"/>
      <c r="J132" s="66"/>
      <c r="K132" s="66"/>
      <c r="L132" s="66"/>
      <c r="M132" s="66"/>
      <c r="N132" s="66"/>
      <c r="O132" s="66"/>
      <c r="P132" s="66"/>
      <c r="Q132" s="66"/>
      <c r="R132" s="66"/>
      <c r="S132" s="66"/>
      <c r="T132" s="66"/>
      <c r="U132" s="66"/>
      <c r="V132" s="66"/>
      <c r="W132" s="66"/>
      <c r="X132" s="66"/>
      <c r="Y132" s="66"/>
      <c r="Z132" s="66"/>
    </row>
    <row r="133" spans="1:26">
      <c r="A133" s="66"/>
      <c r="B133" s="66"/>
      <c r="C133" s="66"/>
      <c r="D133" s="66"/>
      <c r="E133" s="66"/>
      <c r="F133" s="66"/>
      <c r="G133" s="66"/>
      <c r="H133" s="257"/>
      <c r="I133" s="66"/>
      <c r="J133" s="66"/>
      <c r="K133" s="66"/>
      <c r="L133" s="66"/>
      <c r="M133" s="66"/>
      <c r="N133" s="66"/>
      <c r="O133" s="66"/>
      <c r="P133" s="66"/>
      <c r="Q133" s="66"/>
      <c r="R133" s="66"/>
      <c r="S133" s="66"/>
      <c r="T133" s="66"/>
      <c r="U133" s="66"/>
      <c r="V133" s="66"/>
      <c r="W133" s="66"/>
      <c r="X133" s="66"/>
      <c r="Y133" s="66"/>
      <c r="Z133" s="66"/>
    </row>
    <row r="134" spans="1:26">
      <c r="A134" s="66"/>
      <c r="B134" s="66"/>
      <c r="C134" s="66"/>
      <c r="D134" s="66"/>
      <c r="E134" s="66"/>
      <c r="F134" s="66"/>
      <c r="G134" s="66"/>
      <c r="H134" s="257"/>
      <c r="I134" s="66"/>
      <c r="J134" s="66"/>
      <c r="K134" s="66"/>
      <c r="L134" s="66"/>
      <c r="M134" s="66"/>
      <c r="N134" s="66"/>
      <c r="O134" s="66"/>
      <c r="P134" s="66"/>
      <c r="Q134" s="66"/>
      <c r="R134" s="66"/>
      <c r="S134" s="66"/>
      <c r="T134" s="66"/>
      <c r="U134" s="66"/>
      <c r="V134" s="66"/>
      <c r="W134" s="66"/>
      <c r="X134" s="66"/>
      <c r="Y134" s="66"/>
      <c r="Z134" s="66"/>
    </row>
    <row r="135" spans="1:26">
      <c r="A135" s="66"/>
      <c r="B135" s="66"/>
      <c r="C135" s="66"/>
      <c r="D135" s="66"/>
      <c r="E135" s="66"/>
      <c r="F135" s="66"/>
      <c r="G135" s="66"/>
      <c r="H135" s="257"/>
      <c r="I135" s="66"/>
      <c r="J135" s="66"/>
      <c r="K135" s="66"/>
      <c r="L135" s="66"/>
      <c r="M135" s="66"/>
      <c r="N135" s="66"/>
      <c r="O135" s="66"/>
      <c r="P135" s="66"/>
      <c r="Q135" s="66"/>
      <c r="R135" s="66"/>
      <c r="S135" s="66"/>
      <c r="T135" s="66"/>
      <c r="U135" s="66"/>
      <c r="V135" s="66"/>
      <c r="W135" s="66"/>
      <c r="X135" s="66"/>
      <c r="Y135" s="66"/>
      <c r="Z135" s="66"/>
    </row>
    <row r="136" spans="1:26">
      <c r="A136" s="66"/>
      <c r="B136" s="66"/>
      <c r="C136" s="66"/>
      <c r="D136" s="66"/>
      <c r="E136" s="66"/>
      <c r="F136" s="66"/>
      <c r="G136" s="66"/>
      <c r="H136" s="257"/>
      <c r="I136" s="66"/>
      <c r="J136" s="66"/>
      <c r="K136" s="66"/>
      <c r="L136" s="66"/>
      <c r="M136" s="66"/>
      <c r="N136" s="66"/>
      <c r="O136" s="66"/>
      <c r="P136" s="66"/>
      <c r="Q136" s="66"/>
      <c r="R136" s="66"/>
      <c r="S136" s="66"/>
      <c r="T136" s="66"/>
      <c r="U136" s="66"/>
      <c r="V136" s="66"/>
      <c r="W136" s="66"/>
      <c r="X136" s="66"/>
      <c r="Y136" s="66"/>
      <c r="Z136" s="66"/>
    </row>
    <row r="137" spans="1:26">
      <c r="A137" s="66"/>
      <c r="B137" s="66"/>
      <c r="C137" s="66"/>
      <c r="D137" s="66"/>
      <c r="E137" s="66"/>
      <c r="F137" s="66"/>
      <c r="G137" s="66"/>
      <c r="H137" s="257"/>
      <c r="I137" s="66"/>
      <c r="J137" s="66"/>
      <c r="K137" s="66"/>
      <c r="L137" s="66"/>
      <c r="M137" s="66"/>
      <c r="N137" s="66"/>
      <c r="O137" s="66"/>
      <c r="P137" s="66"/>
      <c r="Q137" s="66"/>
      <c r="R137" s="66"/>
      <c r="S137" s="66"/>
      <c r="T137" s="66"/>
      <c r="U137" s="66"/>
      <c r="V137" s="66"/>
      <c r="W137" s="66"/>
      <c r="X137" s="66"/>
      <c r="Y137" s="66"/>
      <c r="Z137" s="66"/>
    </row>
    <row r="138" spans="1:26">
      <c r="A138" s="66"/>
      <c r="B138" s="66"/>
      <c r="C138" s="66"/>
      <c r="D138" s="66"/>
      <c r="E138" s="66"/>
      <c r="F138" s="66"/>
      <c r="G138" s="66"/>
      <c r="H138" s="257"/>
      <c r="I138" s="66"/>
      <c r="J138" s="66"/>
      <c r="K138" s="66"/>
      <c r="L138" s="66"/>
      <c r="M138" s="66"/>
      <c r="N138" s="66"/>
      <c r="O138" s="66"/>
      <c r="P138" s="66"/>
      <c r="Q138" s="66"/>
      <c r="R138" s="66"/>
      <c r="S138" s="66"/>
      <c r="T138" s="66"/>
      <c r="U138" s="66"/>
      <c r="V138" s="66"/>
      <c r="W138" s="66"/>
      <c r="X138" s="66"/>
      <c r="Y138" s="66"/>
      <c r="Z138" s="66"/>
    </row>
    <row r="139" spans="1:26">
      <c r="A139" s="66"/>
      <c r="B139" s="66"/>
      <c r="C139" s="66"/>
      <c r="D139" s="66"/>
      <c r="E139" s="66"/>
      <c r="F139" s="66"/>
      <c r="G139" s="66"/>
      <c r="H139" s="257"/>
      <c r="I139" s="66"/>
      <c r="J139" s="66"/>
      <c r="K139" s="66"/>
      <c r="L139" s="66"/>
      <c r="M139" s="66"/>
      <c r="N139" s="66"/>
      <c r="O139" s="66"/>
      <c r="P139" s="66"/>
      <c r="Q139" s="66"/>
      <c r="R139" s="66"/>
      <c r="S139" s="66"/>
      <c r="T139" s="66"/>
      <c r="U139" s="66"/>
      <c r="V139" s="66"/>
      <c r="W139" s="66"/>
      <c r="X139" s="66"/>
      <c r="Y139" s="66"/>
      <c r="Z139" s="66"/>
    </row>
    <row r="140" spans="1:26" ht="13.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3.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3.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3.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3.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3.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3.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3.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3.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3.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3.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3.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3.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3.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3.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3.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3.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3.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3.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3.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3.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3.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3.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3.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3.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3.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3.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3.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3.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3.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3.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3.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3.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3.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3.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3.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3.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3.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3.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3.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3.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3.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3.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3.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3.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3.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3.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3.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3.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3.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3.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3.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3.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3.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3.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3.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3.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3.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3.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3.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3.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3.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3.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3.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3.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3.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3.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3.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3.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3.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3.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3.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3.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3.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3.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3.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3.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3.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3.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3.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3.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3.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3.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3.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3.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3.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3.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3.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3.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3.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3.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3.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3.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3.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3.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3.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3.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ht="13.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ht="13.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ht="13.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ht="13.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spans="1:26" ht="13.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spans="1:26" ht="13.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spans="1:26" ht="13.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spans="1:26" ht="13.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spans="1:26" ht="13.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spans="1:26" ht="13.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spans="1:26" ht="13.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spans="1:26" ht="13.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spans="1:26" ht="13.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spans="1:26" ht="13.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spans="1:26" ht="13.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spans="1:26" ht="13.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spans="1:26" ht="13.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spans="1:26" ht="13.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spans="1:26" ht="13.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spans="1:26" ht="13.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spans="1:26" ht="13.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spans="1:26" ht="13.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spans="1:26" ht="13.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spans="1:26" ht="13.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spans="1:26" ht="13.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spans="1:26" ht="13.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spans="1:26" ht="13.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spans="1:26" ht="13.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spans="1:26" ht="13.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spans="1:26" ht="13.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spans="1:26" ht="13.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spans="1:26" ht="13.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spans="1:26" ht="13.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spans="1:26" ht="13.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spans="1:26" ht="13.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spans="1:26" ht="13.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spans="1:26" ht="13.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spans="1:26" ht="13.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spans="1:26" ht="13.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spans="1:26" ht="13.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spans="1:26" ht="13.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spans="1:26" ht="13.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spans="1:26" ht="13.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spans="1:26" ht="13.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spans="1:26" ht="13.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spans="1:26" ht="13.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spans="1:26" ht="13.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spans="1:26" ht="13.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spans="1:26" ht="13.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spans="1:26" ht="13.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spans="1:26" ht="13.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spans="1:26" ht="13.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spans="1:26" ht="13.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spans="1:26" ht="13.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spans="1:26" ht="13.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spans="1:26" ht="13.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spans="1:26" ht="13.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spans="1:26" ht="13.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spans="1:26" ht="13.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spans="1:26" ht="13.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spans="1:26" ht="13.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spans="1:26" ht="13.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spans="1:26" ht="13.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spans="1:26" ht="13.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spans="1:26" ht="13.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spans="1:26" ht="13.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spans="1:26" ht="13.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spans="1:26" ht="13.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spans="1:26" ht="13.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spans="1:26" ht="13.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spans="1:26" ht="13.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spans="1:26" ht="13.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spans="1:26" ht="13.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spans="1:26" ht="13.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spans="1:26" ht="13.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spans="1:26" ht="13.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spans="1:26" ht="13.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spans="1:26" ht="13.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spans="1:26" ht="13.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spans="1:26" ht="13.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spans="1:26" ht="13.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spans="1:26" ht="13.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spans="1:26" ht="13.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spans="1:26" ht="13.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spans="1:26" ht="13.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spans="1:26" ht="13.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spans="1:26" ht="13.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spans="1:26" ht="13.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spans="1:26" ht="13.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spans="1:26" ht="13.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spans="1:26" ht="13.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spans="1:26" ht="13.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spans="1:26" ht="13.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spans="1:26" ht="13.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spans="1:26" ht="13.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spans="1:26" ht="13.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spans="1:26" ht="13.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spans="1:26" ht="13.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spans="1:26" ht="13.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spans="1:26" ht="13.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spans="1:26" ht="13.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spans="1:26" ht="13.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spans="1:26" ht="13.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spans="1:26" ht="13.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spans="1:26" ht="13.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spans="1:26" ht="13.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spans="1:26" ht="13.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spans="1:26" ht="13.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spans="1:26" ht="13.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spans="1:26" ht="13.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spans="1:26" ht="13.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spans="1:26" ht="13.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spans="1:26" ht="13.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spans="1:26" ht="13.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spans="1:26" ht="13.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spans="1:26" ht="13.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spans="1:26" ht="13.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spans="1:26" ht="13.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spans="1:26" ht="13.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spans="1:26" ht="13.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spans="1:26" ht="13.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spans="1:26" ht="13.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spans="1:26" ht="13.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spans="1:26" ht="13.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spans="1:26" ht="13.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spans="1:26" ht="13.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spans="1:26" ht="13.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spans="1:26" ht="13.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spans="1:26" ht="13.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spans="1:26" ht="13.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spans="1:26" ht="13.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spans="1:26" ht="13.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spans="1:26" ht="13.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spans="1:26" ht="13.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spans="1:26" ht="13.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spans="1:26" ht="13.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spans="1:26" ht="13.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spans="1:26" ht="13.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spans="1:26" ht="13.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spans="1:26" ht="13.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spans="1:26" ht="13.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spans="1:26" ht="13.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spans="1:26" ht="13.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spans="1:26" ht="13.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spans="1:26" ht="13.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spans="1:26" ht="13.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spans="1:26" ht="13.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spans="1:26" ht="13.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spans="1:26" ht="13.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spans="1:26" ht="13.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spans="1:26" ht="13.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spans="1:26" ht="13.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spans="1:26" ht="13.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spans="1:26" ht="13.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spans="1:26" ht="13.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spans="1:26" ht="13.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spans="1:26" ht="13.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spans="1:26" ht="13.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spans="1:26" ht="13.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spans="1:26" ht="13.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spans="1:26" ht="13.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spans="1:26" ht="13.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spans="1:26" ht="13.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spans="1:26" ht="13.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spans="1:26" ht="13.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spans="1:26" ht="13.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spans="1:26" ht="13.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spans="1:26" ht="13.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spans="1:26" ht="13.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spans="1:26" ht="13.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spans="1:26" ht="13.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spans="1:26" ht="13.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spans="1:26" ht="13.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spans="1:26" ht="13.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spans="1:26" ht="13.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spans="1:26" ht="13.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spans="1:26" ht="13.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spans="1:26" ht="13.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spans="1:26" ht="13.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spans="1:26" ht="13.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spans="1:26" ht="13.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spans="1:26" ht="13.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spans="1:26" ht="13.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spans="1:26" ht="13.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spans="1:26" ht="13.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spans="1:26" ht="13.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spans="1:26" ht="13.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spans="1:26" ht="13.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spans="1:26" ht="13.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spans="1:26" ht="13.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spans="1:26" ht="13.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spans="1:26" ht="13.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spans="1:26" ht="13.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spans="1:26" ht="13.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spans="1:26" ht="13.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spans="1:26" ht="13.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spans="1:26" ht="13.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spans="1:26" ht="13.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spans="1:26" ht="13.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spans="1:26" ht="13.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spans="1:26" ht="13.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spans="1:26" ht="13.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spans="1:26" ht="13.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spans="1:26" ht="13.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spans="1:26" ht="13.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spans="1:26" ht="13.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spans="1:26" ht="13.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spans="1:26" ht="13.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spans="1:26" ht="13.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spans="1:26" ht="13.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spans="1:26" ht="13.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spans="1:26" ht="13.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spans="1:26" ht="13.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spans="1:26" ht="13.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spans="1:26" ht="13.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spans="1:26" ht="13.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spans="1:26" ht="13.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spans="1:26" ht="13.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spans="1:26" ht="13.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spans="1:26" ht="13.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spans="1:26" ht="13.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spans="1:26" ht="13.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spans="1:26" ht="13.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spans="1:26" ht="13.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spans="1:26" ht="13.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spans="1:26" ht="13.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spans="1:26" ht="13.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spans="1:26" ht="13.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spans="1:26" ht="13.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spans="1:26" ht="13.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spans="1:26" ht="13.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spans="1:26" ht="13.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spans="1:26" ht="13.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spans="1:26" ht="13.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spans="1:26" ht="13.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spans="1:26" ht="13.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spans="1:26" ht="13.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spans="1:26" ht="13.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spans="1:26" ht="13.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spans="1:26" ht="13.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spans="1:26" ht="13.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spans="1:26" ht="13.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spans="1:26" ht="13.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spans="1:26" ht="13.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spans="1:26" ht="13.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spans="1:26" ht="13.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spans="1:26" ht="13.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spans="1:26" ht="13.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spans="1:26" ht="13.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spans="1:26" ht="13.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spans="1:26" ht="13.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spans="1:26" ht="13.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spans="1:26" ht="13.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spans="1:26" ht="13.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spans="1:26" ht="13.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spans="1:26" ht="13.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spans="1:26" ht="13.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spans="1:26" ht="13.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spans="1:26" ht="13.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spans="1:26" ht="13.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spans="1:26" ht="13.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spans="1:26" ht="13.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spans="1:26" ht="13.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spans="1:26" ht="13.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spans="1:26" ht="13.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spans="1:26" ht="13.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spans="1:26" ht="13.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spans="1:26" ht="13.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spans="1:26" ht="13.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spans="1:26" ht="13.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spans="1:26" ht="13.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spans="1:26" ht="13.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spans="1:26" ht="13.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spans="1:26" ht="13.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spans="1:26" ht="13.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spans="1:26" ht="13.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spans="1:26" ht="13.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spans="1:26" ht="13.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spans="1:26" ht="13.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spans="1:26" ht="13.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spans="1:26" ht="13.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spans="1:26" ht="13.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spans="1:26" ht="13.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spans="1:26" ht="13.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spans="1:26" ht="13.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spans="1:26" ht="13.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spans="1:26" ht="13.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spans="1:26" ht="13.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spans="1:26" ht="13.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spans="1:26" ht="13.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spans="1:26" ht="13.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spans="1:26" ht="13.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spans="1:26" ht="13.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spans="1:26" ht="13.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spans="1:26" ht="13.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spans="1:26" ht="13.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spans="1:26" ht="13.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spans="1:26" ht="13.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spans="1:26" ht="13.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spans="1:26" ht="13.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spans="1:26" ht="13.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spans="1:26" ht="13.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spans="1:26" ht="13.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spans="1:26" ht="13.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spans="1:26" ht="13.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spans="1:26" ht="13.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spans="1:26" ht="13.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spans="1:26" ht="13.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spans="1:26" ht="13.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spans="1:26" ht="13.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spans="1:26" ht="13.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spans="1:26" ht="13.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spans="1:26" ht="13.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spans="1:26" ht="13.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spans="1:26" ht="13.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spans="1:26" ht="13.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spans="1:26" ht="13.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spans="1:26" ht="13.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spans="1:26" ht="13.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spans="1:26" ht="13.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spans="1:26" ht="13.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spans="1:26" ht="13.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spans="1:26" ht="13.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spans="1:26" ht="13.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spans="1:26" ht="13.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spans="1:26" ht="13.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spans="1:26" ht="13.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spans="1:26" ht="13.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spans="1:26" ht="13.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spans="1:26" ht="13.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spans="1:26" ht="13.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spans="1:26" ht="13.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spans="1:26" ht="13.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spans="1:26" ht="13.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spans="1:26" ht="13.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spans="1:26" ht="13.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spans="1:26" ht="13.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spans="1:26" ht="13.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spans="1:26" ht="13.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spans="1:26" ht="13.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spans="1:26" ht="13.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spans="1:26" ht="13.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spans="1:26" ht="13.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spans="1:26" ht="13.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spans="1:26" ht="13.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spans="1:26" ht="13.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spans="1:26" ht="13.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spans="1:26" ht="13.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spans="1:26" ht="13.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spans="1:26" ht="13.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spans="1:26" ht="13.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spans="1:26" ht="13.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spans="1:26" ht="13.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spans="1:26" ht="13.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spans="1:26" ht="13.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spans="1:26" ht="13.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spans="1:26" ht="13.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spans="1:26" ht="13.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spans="1:26" ht="13.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spans="1:26" ht="13.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spans="1:26" ht="13.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spans="1:26" ht="13.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spans="1:26" ht="13.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spans="1:26" ht="13.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spans="1:26" ht="13.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spans="1:26" ht="13.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spans="1:26" ht="13.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spans="1:26" ht="13.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spans="1:26" ht="13.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spans="1:26" ht="13.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spans="1:26" ht="13.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spans="1:26" ht="13.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spans="1:26" ht="13.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spans="1:26" ht="13.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spans="1:26" ht="13.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spans="1:26" ht="13.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spans="1:26" ht="13.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spans="1:26" ht="13.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spans="1:26" ht="13.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spans="1:26" ht="13.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spans="1:26" ht="13.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spans="1:26" ht="13.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spans="1:26" ht="13.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spans="1:26" ht="13.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spans="1:26" ht="13.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spans="1:26" ht="13.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spans="1:26" ht="13.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spans="1:26" ht="13.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spans="1:26" ht="13.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spans="1:26" ht="13.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spans="1:26" ht="13.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spans="1:26" ht="13.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spans="1:26" ht="13.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spans="1:26" ht="13.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spans="1:26" ht="13.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spans="1:26" ht="13.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spans="1:26" ht="13.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spans="1:26" ht="13.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spans="1:26" ht="13.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spans="1:26" ht="13.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spans="1:26" ht="13.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spans="1:26" ht="13.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spans="1:26" ht="13.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spans="1:26" ht="13.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spans="1:26" ht="13.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spans="1:26" ht="13.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spans="1:26" ht="13.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spans="1:26" ht="13.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spans="1:26" ht="13.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spans="1:26" ht="13.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spans="1:26" ht="13.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spans="1:26" ht="13.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spans="1:26" ht="13.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spans="1:26" ht="13.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spans="1:26" ht="13.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spans="1:26" ht="13.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spans="1:26" ht="13.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spans="1:26" ht="13.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spans="1:26" ht="13.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spans="1:26" ht="13.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spans="1:26" ht="13.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spans="1:26" ht="13.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spans="1:26" ht="13.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spans="1:26" ht="13.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spans="1:26" ht="13.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spans="1:26" ht="13.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spans="1:26" ht="13.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spans="1:26" ht="13.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spans="1:26" ht="13.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spans="1:26" ht="13.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spans="1:26" ht="13.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spans="1:26" ht="13.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spans="1:26" ht="13.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spans="1:26" ht="13.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spans="1:26" ht="13.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spans="1:26" ht="13.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spans="1:26" ht="13.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spans="1:26" ht="13.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spans="1:26" ht="13.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spans="1:26" ht="13.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spans="1:26" ht="13.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spans="1:26" ht="13.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spans="1:26" ht="13.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spans="1:26" ht="13.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spans="1:26" ht="13.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spans="1:26" ht="13.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spans="1:26" ht="13.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spans="1:26" ht="13.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spans="1:26" ht="13.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spans="1:26" ht="13.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spans="1:26" ht="13.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spans="1:26" ht="13.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spans="1:26" ht="13.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spans="1:26" ht="13.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spans="1:26" ht="13.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spans="1:26" ht="13.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spans="1:26" ht="13.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spans="1:26" ht="13.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spans="1:26" ht="13.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spans="1:26" ht="13.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spans="1:26" ht="13.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spans="1:26" ht="13.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spans="1:26" ht="13.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spans="1:26" ht="13.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spans="1:26" ht="13.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spans="1:26" ht="13.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spans="1:26" ht="13.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spans="1:26" ht="13.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spans="1:26" ht="13.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spans="1:26" ht="13.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spans="1:26" ht="13.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spans="1:26" ht="13.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spans="1:26" ht="13.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spans="1:26" ht="13.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spans="1:26" ht="13.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spans="1:26" ht="13.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spans="1:26" ht="13.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spans="1:26" ht="13.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spans="1:26" ht="13.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spans="1:26" ht="13.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spans="1:26" ht="13.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spans="1:26" ht="13.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spans="1:26" ht="13.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spans="1:26" ht="13.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spans="1:26" ht="13.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spans="1:26" ht="13.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spans="1:26" ht="13.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spans="1:26" ht="13.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spans="1:26" ht="13.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spans="1:26" ht="13.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spans="1:26" ht="13.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spans="1:26" ht="13.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spans="1:26" ht="13.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spans="1:26" ht="13.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spans="1:26" ht="13.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spans="1:26" ht="13.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spans="1:26" ht="13.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spans="1:26" ht="13.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spans="1:26" ht="13.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spans="1:26" ht="13.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spans="1:26" ht="13.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spans="1:26" ht="13.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spans="1:26" ht="13.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spans="1:26" ht="13.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spans="1:26" ht="13.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spans="1:26" ht="13.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spans="1:26" ht="13.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spans="1:26" ht="13.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spans="1:26" ht="13.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spans="1:26" ht="13.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spans="1:26" ht="13.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spans="1:26" ht="13.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spans="1:26" ht="13.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spans="1:26" ht="13.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spans="1:26" ht="13.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spans="1:26" ht="13.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spans="1:26" ht="13.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spans="1:26" ht="13.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spans="1:26" ht="13.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spans="1:26" ht="13.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spans="1:26" ht="13.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spans="1:26" ht="13.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spans="1:26" ht="13.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spans="1:26" ht="13.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spans="1:26" ht="13.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spans="1:26" ht="13.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spans="1:26" ht="13.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spans="1:26" ht="13.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spans="1:26" ht="13.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spans="1:26" ht="13.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spans="1:26" ht="13.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spans="1:26" ht="13.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spans="1:26" ht="13.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spans="1:26" ht="13.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spans="1:26" ht="13.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spans="1:26" ht="13.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spans="1:26" ht="13.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spans="1:26" ht="13.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spans="1:26" ht="13.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spans="1:26" ht="13.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spans="1:26" ht="13.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spans="1:26" ht="13.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spans="1:26" ht="13.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spans="1:26" ht="13.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spans="1:26" ht="13.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spans="1:26" ht="13.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spans="1:26" ht="13.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spans="1:26" ht="13.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spans="1:26" ht="13.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spans="1:26" ht="13.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spans="1:26" ht="13.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spans="1:26" ht="13.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spans="1:26" ht="13.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spans="1:26" ht="13.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spans="1:26" ht="13.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spans="1:26" ht="13.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spans="1:26" ht="13.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spans="1:26" ht="13.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spans="1:26" ht="13.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spans="1:26" ht="13.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spans="1:26" ht="13.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spans="1:26" ht="13.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spans="1:26" ht="13.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spans="1:26" ht="13.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spans="1:26" ht="13.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spans="1:26" ht="13.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spans="1:26" ht="13.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spans="1:26" ht="13.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spans="1:26" ht="13.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spans="1:26" ht="13.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spans="1:26" ht="13.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spans="1:26" ht="13.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spans="1:26" ht="13.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spans="1:26" ht="13.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spans="1:26" ht="13.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spans="1:26" ht="13.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spans="1:26" ht="13.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spans="1:26" ht="13.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spans="1:26" ht="13.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spans="1:26" ht="13.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spans="1:26" ht="13.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spans="1:26" ht="13.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spans="1:26" ht="13.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spans="1:26" ht="13.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spans="1:26" ht="13.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spans="1:26" ht="13.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spans="1:26" ht="13.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spans="1:26" ht="13.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spans="1:26" ht="13.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spans="1:26" ht="13.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spans="1:26" ht="13.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spans="1:26" ht="13.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spans="1:26" ht="13.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spans="1:26" ht="13.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spans="1:26" ht="13.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spans="1:26" ht="13.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spans="1:26" ht="13.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spans="1:26" ht="13.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spans="1:26" ht="13.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spans="1:26" ht="13.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spans="1:26" ht="13.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spans="1:26" ht="13.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spans="1:26" ht="13.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spans="1:26" ht="13.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spans="1:26" ht="13.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spans="1:26" ht="13.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spans="1:26" ht="13.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spans="1:26" ht="13.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spans="1:26" ht="13.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spans="1:26" ht="13.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spans="1:26" ht="13.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spans="1:26" ht="13.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spans="1:26" ht="13.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spans="1:26" ht="13.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spans="1:26" ht="13.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spans="1:26" ht="13.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spans="1:26" ht="13.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spans="1:26" ht="13.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spans="1:26" ht="13.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spans="1:26" ht="13.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spans="1:26" ht="13.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spans="1:26" ht="13.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spans="1:26" ht="13.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spans="1:26" ht="13.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spans="1:26" ht="13.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spans="1:26" ht="13.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spans="1:26" ht="13.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spans="1:26" ht="13.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spans="1:26" ht="13.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spans="1:26" ht="13.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spans="1:26" ht="13.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spans="1:26" ht="13.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spans="1:26" ht="13.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spans="1:26" ht="13.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spans="1:26" ht="13.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spans="1:26" ht="13.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spans="1:26" ht="13.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spans="1:26" ht="13.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spans="1:26" ht="13.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spans="1:26" ht="13.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spans="1:26" ht="13.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spans="1:26" ht="13.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spans="1:26" ht="13.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spans="1:26" ht="13.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spans="1:26" ht="13.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spans="1:26" ht="13.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spans="1:26" ht="13.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spans="1:26" ht="13.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spans="1:26" ht="13.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spans="1:26" ht="13.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spans="1:26" ht="13.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spans="1:26" ht="13.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spans="1:26" ht="13.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spans="1:26" ht="13.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spans="1:26" ht="13.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spans="1:26" ht="13.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spans="1:26" ht="13.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spans="1:26" ht="13.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spans="1:26" ht="13.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spans="1:26" ht="13.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spans="1:26" ht="13.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spans="1:26" ht="13.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spans="1:26" ht="13.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spans="1:26" ht="13.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spans="1:26" ht="13.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spans="1:26" ht="13.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spans="1:26" ht="13.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spans="1:26" ht="13.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spans="1:26" ht="13.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spans="1:26" ht="13.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spans="1:26" ht="13.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spans="1:26" ht="13.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spans="1:26" ht="13.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spans="1:26" ht="13.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spans="1:26" ht="13.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spans="1:26" ht="13.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spans="1:26" ht="13.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spans="1:26" ht="13.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spans="1:26" ht="13.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spans="1:26" ht="13.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spans="1:26" ht="13.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spans="1:26" ht="13.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spans="1:26" ht="13.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spans="1:26" ht="13.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spans="1:26" ht="13.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spans="1:26" ht="13.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spans="1:26" ht="13.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spans="1:26" ht="13.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spans="1:26" ht="13.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spans="1:26" ht="13.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spans="1:26" ht="13.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spans="1:26" ht="13.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spans="1:26" ht="13.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spans="1:26" ht="13.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spans="1:26" ht="13.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spans="1:26" ht="13.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spans="1:26" ht="13.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spans="1:26" ht="13.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spans="1:26" ht="13.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spans="1:26" ht="13.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spans="1:26" ht="13.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spans="1:26" ht="13.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spans="1:26" ht="13.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spans="1:26" ht="13.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spans="1:26" ht="13.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spans="1:26" ht="13.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spans="1:26" ht="13.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spans="1:26" ht="13.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spans="1:26" ht="13.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spans="1:26" ht="13.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spans="1:26" ht="13.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spans="1:26" ht="13.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spans="1:26" ht="13.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spans="1:26" ht="13.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spans="1:26" ht="13.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spans="1:26" ht="13.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spans="1:26" ht="13.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spans="1:26" ht="13.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spans="1:26" ht="13.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spans="1:26" ht="13.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spans="1:26" ht="13.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spans="1:26" ht="13.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spans="1:26" ht="13.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spans="1:26" ht="13.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spans="1:26" ht="13.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spans="1:26" ht="13.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spans="1:26" ht="13.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spans="1:26" ht="13.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spans="1:26" ht="13.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spans="1:26" ht="13.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spans="1:26" ht="13.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spans="1:26" ht="13.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spans="1:26" ht="13.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spans="1:26" ht="13.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spans="1:26" ht="13.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spans="1:26" ht="13.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spans="1:26" ht="13.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spans="1:26" ht="13.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spans="1:26" ht="13.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spans="1:26" ht="13.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spans="1:26" ht="13.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spans="1:26" ht="13.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spans="1:26" ht="13.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spans="1:26" ht="13.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spans="1:26" ht="13.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spans="1:26" ht="13.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spans="1:26" ht="13.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spans="1:26" ht="13.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spans="1:26" ht="13.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spans="1:26" ht="13.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spans="1:26" ht="13.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spans="1:26" ht="13.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spans="1:26" ht="13.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spans="1:26" ht="13.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spans="1:26" ht="13.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spans="1:26" ht="13.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spans="1:26" ht="13.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spans="1:26" ht="13.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spans="1:26" ht="13.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spans="1:26" ht="13.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spans="1:26" ht="13.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spans="1:26" ht="13.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spans="1:26" ht="13.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spans="1:26" ht="13.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spans="1:26" ht="13.5" customHeight="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spans="1:26" ht="13.5" customHeight="1">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spans="1:26" ht="13.5" customHeight="1">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spans="1:26" ht="13.5" customHeight="1">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spans="1:26" ht="13.5" customHeight="1">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row r="1006" spans="1:26" ht="13.5" customHeight="1">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row>
    <row r="1007" spans="1:26" ht="13.5" customHeight="1">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row>
    <row r="1008" spans="1:26" ht="13.5" customHeight="1">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c r="Z1008" s="66"/>
    </row>
    <row r="1009" spans="1:26" ht="13.5" customHeight="1">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c r="Z1009" s="66"/>
    </row>
    <row r="1010" spans="1:26" ht="13.5" customHeight="1">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c r="Z1010" s="66"/>
    </row>
    <row r="1011" spans="1:26" ht="13.5" customHeight="1">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c r="Z1011" s="66"/>
    </row>
    <row r="1012" spans="1:26" ht="13.5" customHeight="1">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c r="Z1012" s="66"/>
    </row>
    <row r="1013" spans="1:26" ht="13.5" customHeight="1">
      <c r="A1013" s="66"/>
      <c r="B1013" s="66"/>
      <c r="C1013" s="66"/>
      <c r="D1013" s="66"/>
      <c r="E1013" s="66"/>
      <c r="F1013" s="66"/>
      <c r="G1013" s="66"/>
      <c r="H1013" s="66"/>
      <c r="I1013" s="66"/>
      <c r="J1013" s="66"/>
      <c r="K1013" s="66"/>
      <c r="L1013" s="66"/>
      <c r="M1013" s="66"/>
      <c r="N1013" s="66"/>
      <c r="O1013" s="66"/>
      <c r="P1013" s="66"/>
      <c r="Q1013" s="66"/>
      <c r="R1013" s="66"/>
      <c r="S1013" s="66"/>
      <c r="T1013" s="66"/>
      <c r="U1013" s="66"/>
      <c r="V1013" s="66"/>
      <c r="W1013" s="66"/>
      <c r="X1013" s="66"/>
      <c r="Y1013" s="66"/>
      <c r="Z1013" s="66"/>
    </row>
    <row r="1014" spans="1:26" ht="13.5" customHeight="1">
      <c r="A1014" s="66"/>
      <c r="B1014" s="66"/>
      <c r="C1014" s="66"/>
      <c r="D1014" s="66"/>
      <c r="E1014" s="66"/>
      <c r="F1014" s="66"/>
      <c r="G1014" s="66"/>
      <c r="H1014" s="66"/>
      <c r="I1014" s="66"/>
      <c r="J1014" s="66"/>
      <c r="K1014" s="66"/>
      <c r="L1014" s="66"/>
      <c r="M1014" s="66"/>
      <c r="N1014" s="66"/>
      <c r="O1014" s="66"/>
      <c r="P1014" s="66"/>
      <c r="Q1014" s="66"/>
      <c r="R1014" s="66"/>
      <c r="S1014" s="66"/>
      <c r="T1014" s="66"/>
      <c r="U1014" s="66"/>
      <c r="V1014" s="66"/>
      <c r="W1014" s="66"/>
      <c r="X1014" s="66"/>
      <c r="Y1014" s="66"/>
      <c r="Z1014" s="66"/>
    </row>
    <row r="1015" spans="1:26" ht="13.5" customHeight="1">
      <c r="A1015" s="66"/>
      <c r="B1015" s="66"/>
      <c r="C1015" s="66"/>
      <c r="D1015" s="66"/>
      <c r="E1015" s="66"/>
      <c r="F1015" s="66"/>
      <c r="G1015" s="66"/>
      <c r="H1015" s="66"/>
      <c r="I1015" s="66"/>
      <c r="J1015" s="66"/>
      <c r="K1015" s="66"/>
      <c r="L1015" s="66"/>
      <c r="M1015" s="66"/>
      <c r="N1015" s="66"/>
      <c r="O1015" s="66"/>
      <c r="P1015" s="66"/>
      <c r="Q1015" s="66"/>
      <c r="R1015" s="66"/>
      <c r="S1015" s="66"/>
      <c r="T1015" s="66"/>
      <c r="U1015" s="66"/>
      <c r="V1015" s="66"/>
      <c r="W1015" s="66"/>
      <c r="X1015" s="66"/>
      <c r="Y1015" s="66"/>
      <c r="Z1015" s="66"/>
    </row>
    <row r="1016" spans="1:26" ht="13.5" customHeight="1">
      <c r="A1016" s="66"/>
      <c r="B1016" s="66"/>
      <c r="C1016" s="66"/>
      <c r="D1016" s="66"/>
      <c r="E1016" s="66"/>
      <c r="F1016" s="66"/>
      <c r="G1016" s="66"/>
      <c r="H1016" s="66"/>
      <c r="I1016" s="66"/>
      <c r="J1016" s="66"/>
      <c r="K1016" s="66"/>
      <c r="L1016" s="66"/>
      <c r="M1016" s="66"/>
      <c r="N1016" s="66"/>
      <c r="O1016" s="66"/>
      <c r="P1016" s="66"/>
      <c r="Q1016" s="66"/>
      <c r="R1016" s="66"/>
      <c r="S1016" s="66"/>
      <c r="T1016" s="66"/>
      <c r="U1016" s="66"/>
      <c r="V1016" s="66"/>
      <c r="W1016" s="66"/>
      <c r="X1016" s="66"/>
      <c r="Y1016" s="66"/>
      <c r="Z1016" s="66"/>
    </row>
    <row r="1017" spans="1:26" ht="13.5" customHeight="1">
      <c r="A1017" s="66"/>
      <c r="B1017" s="66"/>
      <c r="C1017" s="66"/>
      <c r="D1017" s="66"/>
      <c r="E1017" s="66"/>
      <c r="F1017" s="66"/>
      <c r="G1017" s="66"/>
      <c r="H1017" s="66"/>
      <c r="I1017" s="66"/>
      <c r="J1017" s="66"/>
      <c r="K1017" s="66"/>
      <c r="L1017" s="66"/>
      <c r="M1017" s="66"/>
      <c r="N1017" s="66"/>
      <c r="O1017" s="66"/>
      <c r="P1017" s="66"/>
      <c r="Q1017" s="66"/>
      <c r="R1017" s="66"/>
      <c r="S1017" s="66"/>
      <c r="T1017" s="66"/>
      <c r="U1017" s="66"/>
      <c r="V1017" s="66"/>
      <c r="W1017" s="66"/>
      <c r="X1017" s="66"/>
      <c r="Y1017" s="66"/>
      <c r="Z1017" s="66"/>
    </row>
    <row r="1018" spans="1:26" ht="13.5" customHeight="1">
      <c r="A1018" s="66"/>
      <c r="B1018" s="66"/>
      <c r="C1018" s="66"/>
      <c r="D1018" s="66"/>
      <c r="E1018" s="66"/>
      <c r="F1018" s="66"/>
      <c r="G1018" s="66"/>
      <c r="H1018" s="66"/>
      <c r="I1018" s="66"/>
      <c r="J1018" s="66"/>
      <c r="K1018" s="66"/>
      <c r="L1018" s="66"/>
      <c r="M1018" s="66"/>
      <c r="N1018" s="66"/>
      <c r="O1018" s="66"/>
      <c r="P1018" s="66"/>
      <c r="Q1018" s="66"/>
      <c r="R1018" s="66"/>
      <c r="S1018" s="66"/>
      <c r="T1018" s="66"/>
      <c r="U1018" s="66"/>
      <c r="V1018" s="66"/>
      <c r="W1018" s="66"/>
      <c r="X1018" s="66"/>
      <c r="Y1018" s="66"/>
      <c r="Z1018" s="66"/>
    </row>
    <row r="1019" spans="1:26" ht="13.5" customHeight="1">
      <c r="A1019" s="66"/>
      <c r="B1019" s="66"/>
      <c r="C1019" s="66"/>
      <c r="D1019" s="66"/>
      <c r="E1019" s="66"/>
      <c r="F1019" s="66"/>
      <c r="G1019" s="66"/>
      <c r="H1019" s="66"/>
      <c r="I1019" s="66"/>
      <c r="J1019" s="66"/>
      <c r="K1019" s="66"/>
      <c r="L1019" s="66"/>
      <c r="M1019" s="66"/>
      <c r="N1019" s="66"/>
      <c r="O1019" s="66"/>
      <c r="P1019" s="66"/>
      <c r="Q1019" s="66"/>
      <c r="R1019" s="66"/>
      <c r="S1019" s="66"/>
      <c r="T1019" s="66"/>
      <c r="U1019" s="66"/>
      <c r="V1019" s="66"/>
      <c r="W1019" s="66"/>
      <c r="X1019" s="66"/>
      <c r="Y1019" s="66"/>
      <c r="Z1019" s="66"/>
    </row>
    <row r="1020" spans="1:26" ht="13.5" customHeight="1">
      <c r="A1020" s="66"/>
      <c r="B1020" s="66"/>
      <c r="C1020" s="66"/>
      <c r="D1020" s="66"/>
      <c r="E1020" s="66"/>
      <c r="F1020" s="66"/>
      <c r="G1020" s="66"/>
      <c r="H1020" s="66"/>
      <c r="I1020" s="66"/>
      <c r="J1020" s="66"/>
      <c r="K1020" s="66"/>
      <c r="L1020" s="66"/>
      <c r="M1020" s="66"/>
      <c r="N1020" s="66"/>
      <c r="O1020" s="66"/>
      <c r="P1020" s="66"/>
      <c r="Q1020" s="66"/>
      <c r="R1020" s="66"/>
      <c r="S1020" s="66"/>
      <c r="T1020" s="66"/>
      <c r="U1020" s="66"/>
      <c r="V1020" s="66"/>
      <c r="W1020" s="66"/>
      <c r="X1020" s="66"/>
      <c r="Y1020" s="66"/>
      <c r="Z1020" s="66"/>
    </row>
    <row r="1021" spans="1:26" ht="13.5" customHeight="1">
      <c r="A1021" s="66"/>
      <c r="B1021" s="66"/>
      <c r="C1021" s="66"/>
      <c r="D1021" s="66"/>
      <c r="E1021" s="66"/>
      <c r="F1021" s="66"/>
      <c r="G1021" s="66"/>
      <c r="H1021" s="66"/>
      <c r="I1021" s="66"/>
      <c r="J1021" s="66"/>
      <c r="K1021" s="66"/>
      <c r="L1021" s="66"/>
      <c r="M1021" s="66"/>
      <c r="N1021" s="66"/>
      <c r="O1021" s="66"/>
      <c r="P1021" s="66"/>
      <c r="Q1021" s="66"/>
      <c r="R1021" s="66"/>
      <c r="S1021" s="66"/>
      <c r="T1021" s="66"/>
      <c r="U1021" s="66"/>
      <c r="V1021" s="66"/>
      <c r="W1021" s="66"/>
      <c r="X1021" s="66"/>
      <c r="Y1021" s="66"/>
      <c r="Z1021" s="66"/>
    </row>
    <row r="1022" spans="1:26" ht="13.5" customHeight="1">
      <c r="A1022" s="66"/>
      <c r="B1022" s="66"/>
      <c r="C1022" s="66"/>
      <c r="D1022" s="66"/>
      <c r="E1022" s="66"/>
      <c r="F1022" s="66"/>
      <c r="G1022" s="66"/>
      <c r="H1022" s="66"/>
      <c r="I1022" s="66"/>
      <c r="J1022" s="66"/>
      <c r="K1022" s="66"/>
      <c r="L1022" s="66"/>
      <c r="M1022" s="66"/>
      <c r="N1022" s="66"/>
      <c r="O1022" s="66"/>
      <c r="P1022" s="66"/>
      <c r="Q1022" s="66"/>
      <c r="R1022" s="66"/>
      <c r="S1022" s="66"/>
      <c r="T1022" s="66"/>
      <c r="U1022" s="66"/>
      <c r="V1022" s="66"/>
      <c r="W1022" s="66"/>
      <c r="X1022" s="66"/>
      <c r="Y1022" s="66"/>
      <c r="Z1022" s="66"/>
    </row>
  </sheetData>
  <mergeCells count="2">
    <mergeCell ref="A1:K2"/>
    <mergeCell ref="A5:L5"/>
  </mergeCells>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28392-696E-084B-BF74-CA766467A4C4}">
  <sheetPr>
    <tabColor theme="9"/>
  </sheetPr>
  <dimension ref="A1:N73"/>
  <sheetViews>
    <sheetView workbookViewId="0">
      <selection activeCell="J81" sqref="J81"/>
    </sheetView>
  </sheetViews>
  <sheetFormatPr defaultColWidth="11.42578125" defaultRowHeight="15"/>
  <sheetData>
    <row r="1" spans="1:14">
      <c r="A1" s="91" t="s">
        <v>119</v>
      </c>
      <c r="B1" s="91"/>
      <c r="C1" s="157"/>
      <c r="D1" s="157"/>
      <c r="E1" s="157"/>
      <c r="F1" s="157"/>
      <c r="G1" s="89"/>
      <c r="H1" s="89"/>
      <c r="I1" s="89"/>
      <c r="J1" s="89"/>
      <c r="K1" s="89"/>
      <c r="L1" s="89"/>
      <c r="M1" s="89"/>
      <c r="N1" s="89"/>
    </row>
    <row r="2" spans="1:14" ht="15.95" thickBot="1">
      <c r="A2" s="192" t="s">
        <v>120</v>
      </c>
      <c r="B2" s="192" t="s">
        <v>121</v>
      </c>
      <c r="C2" s="193" t="s">
        <v>43</v>
      </c>
      <c r="D2" s="193" t="s">
        <v>44</v>
      </c>
      <c r="E2" s="193" t="s">
        <v>45</v>
      </c>
      <c r="F2" s="193" t="s">
        <v>46</v>
      </c>
      <c r="G2" s="193" t="s">
        <v>47</v>
      </c>
      <c r="H2" s="193" t="s">
        <v>48</v>
      </c>
      <c r="I2" s="193" t="s">
        <v>49</v>
      </c>
      <c r="J2" s="193" t="s">
        <v>50</v>
      </c>
      <c r="K2" s="193" t="s">
        <v>51</v>
      </c>
      <c r="L2" s="193" t="s">
        <v>52</v>
      </c>
      <c r="M2" s="193" t="s">
        <v>53</v>
      </c>
      <c r="N2" s="193" t="s">
        <v>54</v>
      </c>
    </row>
    <row r="3" spans="1:14" ht="17.100000000000001" thickTop="1" thickBot="1">
      <c r="A3" s="50" t="s">
        <v>124</v>
      </c>
      <c r="B3" s="51" t="s">
        <v>125</v>
      </c>
      <c r="C3" s="52">
        <f>'Cost to Produce'!C12</f>
        <v>18.742832723231448</v>
      </c>
      <c r="D3" s="52">
        <f>'Cost to Produce'!D12</f>
        <v>21.93266058189171</v>
      </c>
      <c r="E3" s="52">
        <f>'Cost to Produce'!E12</f>
        <v>21.282009505963206</v>
      </c>
      <c r="F3" s="52">
        <f>'Cost to Produce'!F12</f>
        <v>20.504969032897609</v>
      </c>
      <c r="G3" s="52">
        <f>'Cost to Produce'!G12</f>
        <v>22.386145702756234</v>
      </c>
      <c r="H3" s="52">
        <f>'Cost to Produce'!H12</f>
        <v>21.722428671760404</v>
      </c>
      <c r="I3" s="52">
        <f>'Cost to Produce'!I12</f>
        <v>21.949977632251699</v>
      </c>
      <c r="J3" s="52">
        <f>'Cost to Produce'!J12</f>
        <v>22.082220953941096</v>
      </c>
      <c r="K3" s="52">
        <f>'Cost to Produce'!K12</f>
        <v>21.707559358647668</v>
      </c>
      <c r="L3" s="52">
        <f>'Cost to Produce'!L12</f>
        <v>21.675000030497188</v>
      </c>
      <c r="M3" s="52">
        <f>'Cost to Produce'!M12</f>
        <v>21.783646940063736</v>
      </c>
      <c r="N3" s="52">
        <f>'Cost to Produce'!N12</f>
        <v>22.425636564688531</v>
      </c>
    </row>
    <row r="4" spans="1:14" ht="17.100000000000001" thickTop="1" thickBot="1">
      <c r="A4" s="50" t="s">
        <v>130</v>
      </c>
      <c r="B4" s="51" t="s">
        <v>125</v>
      </c>
      <c r="C4" s="52">
        <f>'Cost to Produce'!C46</f>
        <v>17.04699940862529</v>
      </c>
      <c r="D4" s="52">
        <f>'Cost to Produce'!D46</f>
        <v>15.929152563370595</v>
      </c>
      <c r="E4" s="52">
        <f>'Cost to Produce'!E46</f>
        <v>26.805048797647096</v>
      </c>
      <c r="F4" s="52">
        <f>'Cost to Produce'!F46</f>
        <v>19.470090265515587</v>
      </c>
      <c r="G4" s="52">
        <f>'Cost to Produce'!G46</f>
        <v>36.282379179907572</v>
      </c>
      <c r="H4" s="52">
        <f>'Cost to Produce'!H46</f>
        <v>18.209498428145807</v>
      </c>
      <c r="I4" s="52">
        <f>'Cost to Produce'!I46</f>
        <v>18.865595340342523</v>
      </c>
      <c r="J4" s="52">
        <f>'Cost to Produce'!J46</f>
        <v>23.705901922539738</v>
      </c>
      <c r="K4" s="52">
        <f>'Cost to Produce'!K46</f>
        <v>19.188555087494478</v>
      </c>
      <c r="L4" s="52">
        <f>'Cost to Produce'!L46</f>
        <v>20.710456901297448</v>
      </c>
      <c r="M4" s="52">
        <f>'Cost to Produce'!M46</f>
        <v>20.688723799746647</v>
      </c>
      <c r="N4" s="52">
        <f>'Cost to Produce'!N46</f>
        <v>26.364460943103403</v>
      </c>
    </row>
    <row r="24" spans="1:14">
      <c r="A24" s="91" t="s">
        <v>126</v>
      </c>
      <c r="B24" s="91"/>
      <c r="C24" s="157"/>
      <c r="D24" s="157"/>
      <c r="E24" s="157"/>
      <c r="F24" s="157"/>
      <c r="G24" s="89"/>
      <c r="H24" s="89"/>
      <c r="I24" s="89"/>
      <c r="J24" s="89"/>
      <c r="K24" s="89"/>
      <c r="L24" s="89"/>
      <c r="M24" s="89"/>
      <c r="N24" s="89"/>
    </row>
    <row r="25" spans="1:14" ht="15.95" thickBot="1">
      <c r="A25" s="91" t="s">
        <v>120</v>
      </c>
      <c r="B25" s="91" t="s">
        <v>121</v>
      </c>
      <c r="C25" s="194" t="s">
        <v>43</v>
      </c>
      <c r="D25" s="194" t="s">
        <v>44</v>
      </c>
      <c r="E25" s="194" t="s">
        <v>45</v>
      </c>
      <c r="F25" s="194" t="s">
        <v>46</v>
      </c>
      <c r="G25" s="194" t="s">
        <v>47</v>
      </c>
      <c r="H25" s="194" t="s">
        <v>48</v>
      </c>
      <c r="I25" s="194" t="s">
        <v>49</v>
      </c>
      <c r="J25" s="194" t="s">
        <v>50</v>
      </c>
      <c r="K25" s="194" t="s">
        <v>51</v>
      </c>
      <c r="L25" s="194" t="s">
        <v>52</v>
      </c>
      <c r="M25" s="194" t="s">
        <v>53</v>
      </c>
      <c r="N25" s="194" t="s">
        <v>54</v>
      </c>
    </row>
    <row r="26" spans="1:14" ht="17.100000000000001" thickTop="1" thickBot="1">
      <c r="A26" s="50" t="s">
        <v>124</v>
      </c>
      <c r="B26" s="51" t="s">
        <v>125</v>
      </c>
      <c r="C26" s="52">
        <f>'Cost to Produce'!C20</f>
        <v>57.45487966848652</v>
      </c>
      <c r="D26" s="52">
        <f>'Cost to Produce'!D20</f>
        <v>61.392023003463358</v>
      </c>
      <c r="E26" s="52">
        <f>'Cost to Produce'!E20</f>
        <v>62.882151555739604</v>
      </c>
      <c r="F26" s="52">
        <f>'Cost to Produce'!F20</f>
        <v>63.089544217023779</v>
      </c>
      <c r="G26" s="52">
        <f>'Cost to Produce'!G20</f>
        <v>68.065265722846576</v>
      </c>
      <c r="H26" s="52">
        <f>'Cost to Produce'!H20</f>
        <v>64.052901793585065</v>
      </c>
      <c r="I26" s="52">
        <f>'Cost to Produce'!I20</f>
        <v>59.851811831963715</v>
      </c>
      <c r="J26" s="52">
        <f>'Cost to Produce'!J20</f>
        <v>56.785797439154138</v>
      </c>
      <c r="K26" s="52">
        <f>'Cost to Produce'!K20</f>
        <v>52.587434391814817</v>
      </c>
      <c r="L26" s="52">
        <f>'Cost to Produce'!L20</f>
        <v>51.1409989583574</v>
      </c>
      <c r="M26" s="52">
        <f>'Cost to Produce'!M20</f>
        <v>50.508128639335695</v>
      </c>
      <c r="N26" s="52">
        <f>'Cost to Produce'!N20</f>
        <v>48.12989502414775</v>
      </c>
    </row>
    <row r="27" spans="1:14" ht="17.100000000000001" thickTop="1" thickBot="1">
      <c r="A27" s="50" t="s">
        <v>130</v>
      </c>
      <c r="B27" s="51" t="s">
        <v>125</v>
      </c>
      <c r="C27" s="52">
        <f>'Cost to Produce'!C54</f>
        <v>50.974842269269757</v>
      </c>
      <c r="D27" s="52">
        <f>'Cost to Produce'!D54</f>
        <v>49.763704396768382</v>
      </c>
      <c r="E27" s="52">
        <f>'Cost to Produce'!E54</f>
        <v>70.398773550679948</v>
      </c>
      <c r="F27" s="52">
        <f>'Cost to Produce'!F54</f>
        <v>60.502901816400772</v>
      </c>
      <c r="G27" s="52">
        <f>'Cost to Produce'!G54</f>
        <v>66.326049806550088</v>
      </c>
      <c r="H27" s="52">
        <f>'Cost to Produce'!H54</f>
        <v>52.40547464770016</v>
      </c>
      <c r="I27" s="52">
        <f>'Cost to Produce'!I54</f>
        <v>37.222581944540252</v>
      </c>
      <c r="J27" s="52">
        <f>'Cost to Produce'!J54</f>
        <v>31.708122434553864</v>
      </c>
      <c r="K27" s="52">
        <f>'Cost to Produce'!K54</f>
        <v>33.51825925681343</v>
      </c>
      <c r="L27" s="52">
        <f>'Cost to Produce'!L54</f>
        <v>39.958136096729319</v>
      </c>
      <c r="M27" s="52">
        <f>'Cost to Produce'!M54</f>
        <v>37.36644996384782</v>
      </c>
      <c r="N27" s="52">
        <f>'Cost to Produce'!N54</f>
        <v>42.949275594588386</v>
      </c>
    </row>
    <row r="47" spans="1:14">
      <c r="A47" s="91" t="s">
        <v>135</v>
      </c>
      <c r="B47" s="91"/>
      <c r="C47" s="157"/>
      <c r="D47" s="157"/>
      <c r="E47" s="157"/>
      <c r="F47" s="157"/>
      <c r="G47" s="89"/>
      <c r="H47" s="89"/>
      <c r="I47" s="89"/>
      <c r="J47" s="89"/>
      <c r="K47" s="89"/>
      <c r="L47" s="89"/>
      <c r="M47" s="89"/>
      <c r="N47" s="89"/>
    </row>
    <row r="48" spans="1:14" ht="15.95" thickBot="1">
      <c r="A48" s="91" t="s">
        <v>120</v>
      </c>
      <c r="B48" s="91" t="s">
        <v>121</v>
      </c>
      <c r="C48" s="194" t="s">
        <v>43</v>
      </c>
      <c r="D48" s="194" t="s">
        <v>44</v>
      </c>
      <c r="E48" s="194" t="s">
        <v>45</v>
      </c>
      <c r="F48" s="194" t="s">
        <v>46</v>
      </c>
      <c r="G48" s="194" t="s">
        <v>47</v>
      </c>
      <c r="H48" s="194" t="s">
        <v>48</v>
      </c>
      <c r="I48" s="194" t="s">
        <v>49</v>
      </c>
      <c r="J48" s="194" t="s">
        <v>50</v>
      </c>
      <c r="K48" s="194" t="s">
        <v>51</v>
      </c>
      <c r="L48" s="194" t="s">
        <v>52</v>
      </c>
      <c r="M48" s="194" t="s">
        <v>53</v>
      </c>
      <c r="N48" s="194" t="s">
        <v>54</v>
      </c>
    </row>
    <row r="49" spans="1:14" ht="17.100000000000001" thickTop="1" thickBot="1">
      <c r="A49" s="50" t="s">
        <v>124</v>
      </c>
      <c r="B49" s="51" t="s">
        <v>125</v>
      </c>
      <c r="C49" s="52">
        <f>'Cost to Produce'!C28</f>
        <v>21.108831850686485</v>
      </c>
      <c r="D49" s="52">
        <f>'Cost to Produce'!D28</f>
        <v>20.730006681609698</v>
      </c>
      <c r="E49" s="52">
        <f>'Cost to Produce'!E28</f>
        <v>22.904867459938107</v>
      </c>
      <c r="F49" s="52">
        <f>'Cost to Produce'!F28</f>
        <v>23.797484985969422</v>
      </c>
      <c r="G49" s="52">
        <f>'Cost to Produce'!G28</f>
        <v>22.932462422344717</v>
      </c>
      <c r="H49" s="52">
        <f>'Cost to Produce'!H28</f>
        <v>22.599512536833672</v>
      </c>
      <c r="I49" s="52">
        <f>'Cost to Produce'!I28</f>
        <v>21.891972455245735</v>
      </c>
      <c r="J49" s="52">
        <f>'Cost to Produce'!J28</f>
        <v>20.902520234693288</v>
      </c>
      <c r="K49" s="52">
        <f>'Cost to Produce'!K28</f>
        <v>21.268804321764094</v>
      </c>
      <c r="L49" s="52">
        <f>'Cost to Produce'!L28</f>
        <v>21.207781719260886</v>
      </c>
      <c r="M49" s="52">
        <f>'Cost to Produce'!M28</f>
        <v>21.45513754910586</v>
      </c>
      <c r="N49" s="52">
        <f>'Cost to Produce'!N28</f>
        <v>22.243839787271916</v>
      </c>
    </row>
    <row r="50" spans="1:14" ht="17.100000000000001" thickTop="1" thickBot="1">
      <c r="A50" s="50" t="s">
        <v>130</v>
      </c>
      <c r="B50" s="51" t="s">
        <v>125</v>
      </c>
      <c r="C50" s="52">
        <f>'Cost to Produce'!C62</f>
        <v>23.317805303319844</v>
      </c>
      <c r="D50" s="52">
        <f>'Cost to Produce'!D62</f>
        <v>24.219150848811978</v>
      </c>
      <c r="E50" s="52">
        <f>'Cost to Produce'!E62</f>
        <v>25.248191487417611</v>
      </c>
      <c r="F50" s="52">
        <f>'Cost to Produce'!F62</f>
        <v>17.764656176565065</v>
      </c>
      <c r="G50" s="52">
        <f>'Cost to Produce'!G62</f>
        <v>31.356104983695317</v>
      </c>
      <c r="H50" s="52">
        <f>'Cost to Produce'!H62</f>
        <v>16.780730762151059</v>
      </c>
      <c r="I50" s="52">
        <f>'Cost to Produce'!I62</f>
        <v>17.75701363556</v>
      </c>
      <c r="J50" s="52">
        <f>'Cost to Produce'!J62</f>
        <v>16.183988362040939</v>
      </c>
      <c r="K50" s="52">
        <f>'Cost to Produce'!K62</f>
        <v>20.742217897659724</v>
      </c>
      <c r="L50" s="52">
        <f>'Cost to Produce'!L62</f>
        <v>39.730119440934772</v>
      </c>
      <c r="M50" s="52">
        <f>'Cost to Produce'!M62</f>
        <v>40.368228234760636</v>
      </c>
      <c r="N50" s="52">
        <f>'Cost to Produce'!N62</f>
        <v>33.443351545238528</v>
      </c>
    </row>
    <row r="70" spans="1:14">
      <c r="A70" s="91" t="s">
        <v>136</v>
      </c>
      <c r="B70" s="91"/>
      <c r="C70" s="157"/>
      <c r="D70" s="157"/>
      <c r="E70" s="157"/>
      <c r="F70" s="157"/>
      <c r="G70" s="89"/>
      <c r="H70" s="89"/>
      <c r="I70" s="89"/>
      <c r="J70" s="89"/>
      <c r="K70" s="89"/>
      <c r="L70" s="89"/>
      <c r="M70" s="89"/>
      <c r="N70" s="89"/>
    </row>
    <row r="71" spans="1:14" ht="15.95" thickBot="1">
      <c r="A71" s="91" t="s">
        <v>120</v>
      </c>
      <c r="B71" s="91" t="s">
        <v>121</v>
      </c>
      <c r="C71" s="194" t="s">
        <v>43</v>
      </c>
      <c r="D71" s="194" t="s">
        <v>44</v>
      </c>
      <c r="E71" s="194" t="s">
        <v>45</v>
      </c>
      <c r="F71" s="194" t="s">
        <v>46</v>
      </c>
      <c r="G71" s="194" t="s">
        <v>47</v>
      </c>
      <c r="H71" s="194" t="s">
        <v>48</v>
      </c>
      <c r="I71" s="194" t="s">
        <v>49</v>
      </c>
      <c r="J71" s="194" t="s">
        <v>50</v>
      </c>
      <c r="K71" s="194" t="s">
        <v>51</v>
      </c>
      <c r="L71" s="194" t="s">
        <v>52</v>
      </c>
      <c r="M71" s="194" t="s">
        <v>53</v>
      </c>
      <c r="N71" s="194" t="s">
        <v>54</v>
      </c>
    </row>
    <row r="72" spans="1:14" ht="17.100000000000001" thickTop="1" thickBot="1">
      <c r="A72" s="50" t="s">
        <v>124</v>
      </c>
      <c r="B72" s="51" t="s">
        <v>125</v>
      </c>
      <c r="C72" s="52">
        <f>'Cost to Produce'!C38</f>
        <v>32.51713711737181</v>
      </c>
      <c r="D72" s="52">
        <f>'Cost to Produce'!D38</f>
        <v>35.274262321141222</v>
      </c>
      <c r="E72" s="52">
        <f>'Cost to Produce'!E38</f>
        <v>36.512178207603895</v>
      </c>
      <c r="F72" s="52">
        <f>'Cost to Produce'!F38</f>
        <v>37.65539791300889</v>
      </c>
      <c r="G72" s="52">
        <f>'Cost to Produce'!G38</f>
        <v>40.260721514487528</v>
      </c>
      <c r="H72" s="52">
        <f>'Cost to Produce'!H38</f>
        <v>38.688207095620896</v>
      </c>
      <c r="I72" s="52">
        <f>'Cost to Produce'!I38</f>
        <v>36.941136420629149</v>
      </c>
      <c r="J72" s="52">
        <f>'Cost to Produce'!J38</f>
        <v>35.699638303730481</v>
      </c>
      <c r="K72" s="52">
        <f>'Cost to Produce'!K38</f>
        <v>34.4419628489632</v>
      </c>
      <c r="L72" s="52">
        <f>'Cost to Produce'!L38</f>
        <v>34.058425845177702</v>
      </c>
      <c r="M72" s="52">
        <f>'Cost to Produce'!M38</f>
        <v>34.114232796761719</v>
      </c>
      <c r="N72" s="52">
        <f>'Cost to Produce'!N38</f>
        <v>33.657442894960788</v>
      </c>
    </row>
    <row r="73" spans="1:14" ht="17.100000000000001" thickTop="1" thickBot="1">
      <c r="A73" s="50" t="s">
        <v>130</v>
      </c>
      <c r="B73" s="51" t="s">
        <v>125</v>
      </c>
      <c r="C73" s="52">
        <f>'Cost to Produce'!C72</f>
        <v>31.057542276282895</v>
      </c>
      <c r="D73" s="52">
        <f>'Cost to Produce'!D72</f>
        <v>31.049679137461652</v>
      </c>
      <c r="E73" s="52">
        <f>'Cost to Produce'!E72</f>
        <v>42.341353443541756</v>
      </c>
      <c r="F73" s="52">
        <f>'Cost to Produce'!F72</f>
        <v>37.708148771476978</v>
      </c>
      <c r="G73" s="52">
        <f>'Cost to Produce'!G72</f>
        <v>48.394277584389322</v>
      </c>
      <c r="H73" s="52">
        <f>'Cost to Produce'!H72</f>
        <v>32.369553120516841</v>
      </c>
      <c r="I73" s="52">
        <f>'Cost to Produce'!I72</f>
        <v>25.745976094056214</v>
      </c>
      <c r="J73" s="52">
        <f>'Cost to Produce'!J72</f>
        <v>25.041524554563868</v>
      </c>
      <c r="K73" s="52">
        <f>'Cost to Produce'!K72</f>
        <v>26.942778830473102</v>
      </c>
      <c r="L73" s="52">
        <f>'Cost to Produce'!L72</f>
        <v>34.046226049533431</v>
      </c>
      <c r="M73" s="52">
        <f>'Cost to Produce'!M72</f>
        <v>33.236638904736367</v>
      </c>
      <c r="N73" s="52">
        <f>'Cost to Produce'!N72</f>
        <v>36.481239948563669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68"/>
  <sheetViews>
    <sheetView showGridLines="0" tabSelected="1" zoomScaleNormal="100" workbookViewId="0">
      <selection activeCell="K157" sqref="K157"/>
    </sheetView>
  </sheetViews>
  <sheetFormatPr defaultColWidth="14.42578125" defaultRowHeight="15" customHeight="1"/>
  <cols>
    <col min="1" max="1" width="28.28515625" customWidth="1"/>
    <col min="2" max="2" width="16.140625" customWidth="1"/>
    <col min="3" max="14" width="15.140625" customWidth="1"/>
    <col min="15" max="26" width="8.7109375" customWidth="1"/>
  </cols>
  <sheetData>
    <row r="1" spans="1:20" s="182" customFormat="1" ht="147.94999999999999" customHeight="1">
      <c r="A1" s="285" t="s">
        <v>137</v>
      </c>
      <c r="B1" s="280"/>
      <c r="C1" s="280"/>
      <c r="D1" s="280"/>
      <c r="E1" s="280"/>
      <c r="F1" s="280"/>
      <c r="G1" s="280"/>
      <c r="H1" s="280"/>
      <c r="I1" s="280"/>
      <c r="J1" s="280"/>
      <c r="K1" s="280"/>
      <c r="L1" s="280"/>
      <c r="M1" s="280"/>
      <c r="N1" s="280"/>
      <c r="O1" s="280"/>
      <c r="P1" s="280"/>
      <c r="Q1" s="280"/>
      <c r="R1" s="280"/>
      <c r="S1" s="280"/>
      <c r="T1" s="280"/>
    </row>
    <row r="2" spans="1:20" s="182" customFormat="1" ht="41.1" customHeight="1">
      <c r="A2" s="181" t="s">
        <v>138</v>
      </c>
    </row>
    <row r="3" spans="1:20" s="182" customFormat="1" ht="20.100000000000001" customHeight="1">
      <c r="A3" s="181"/>
    </row>
    <row r="4" spans="1:20" s="182" customFormat="1" ht="21" customHeight="1">
      <c r="A4" s="181" t="s">
        <v>139</v>
      </c>
    </row>
    <row r="5" spans="1:20" s="182" customFormat="1" ht="21.95" customHeight="1">
      <c r="A5" s="181" t="s">
        <v>140</v>
      </c>
    </row>
    <row r="6" spans="1:20" s="90" customFormat="1" ht="14.25" customHeight="1">
      <c r="A6" s="91" t="s">
        <v>141</v>
      </c>
      <c r="B6" s="91" t="s">
        <v>121</v>
      </c>
      <c r="C6" s="101" t="s">
        <v>43</v>
      </c>
      <c r="D6" s="101" t="s">
        <v>44</v>
      </c>
      <c r="E6" s="101" t="s">
        <v>45</v>
      </c>
      <c r="F6" s="101" t="s">
        <v>46</v>
      </c>
      <c r="G6" s="101" t="s">
        <v>47</v>
      </c>
      <c r="H6" s="101" t="s">
        <v>48</v>
      </c>
      <c r="I6" s="101" t="s">
        <v>49</v>
      </c>
      <c r="J6" s="101" t="s">
        <v>50</v>
      </c>
      <c r="K6" s="101" t="s">
        <v>51</v>
      </c>
      <c r="L6" s="101" t="s">
        <v>52</v>
      </c>
      <c r="M6" s="101" t="s">
        <v>53</v>
      </c>
      <c r="N6" s="101" t="s">
        <v>54</v>
      </c>
    </row>
    <row r="7" spans="1:20" s="79" customFormat="1" ht="14.25" customHeight="1">
      <c r="A7" s="190" t="s">
        <v>142</v>
      </c>
      <c r="B7" s="190" t="s">
        <v>122</v>
      </c>
      <c r="C7" s="191">
        <f>SUMIF('Variance Analysis'!$B$30:$B$33,"Overheads",'Variance Analysis'!C$30:C$33)</f>
        <v>3355241.0299999896</v>
      </c>
      <c r="D7" s="191">
        <f>SUMIF('Variance Analysis'!$B$30:$B$33,"Overheads",'Variance Analysis'!D$30:D$33)</f>
        <v>4635971.09</v>
      </c>
      <c r="E7" s="191">
        <f>SUMIF('Variance Analysis'!$B$30:$B$33,"Overheads",'Variance Analysis'!E$30:E$33)</f>
        <v>3629534.96999999</v>
      </c>
      <c r="F7" s="191">
        <f>SUMIF('Variance Analysis'!$B$30:$B$33,"Overheads",'Variance Analysis'!F$30:F$33)</f>
        <v>3445023.51</v>
      </c>
      <c r="G7" s="191">
        <f>SUMIF('Variance Analysis'!$B$30:$B$33,"Overheads",'Variance Analysis'!G$30:G$33)</f>
        <v>3537886.1</v>
      </c>
      <c r="H7" s="191">
        <f>SUMIF('Variance Analysis'!$B$30:$B$33,"Overheads",'Variance Analysis'!H$30:H$33)</f>
        <v>3402717.4</v>
      </c>
      <c r="I7" s="191">
        <f>SUMIF('Variance Analysis'!$B$30:$B$33,"Overheads",'Variance Analysis'!I$30:I$33)</f>
        <v>4274662.879999999</v>
      </c>
      <c r="J7" s="191">
        <f>SUMIF('Variance Analysis'!$B$30:$B$33,"Overheads",'Variance Analysis'!J$30:J$33)</f>
        <v>3598813.38</v>
      </c>
      <c r="K7" s="191">
        <f>SUMIF('Variance Analysis'!$B$30:$B$33,"Overheads",'Variance Analysis'!K$30:K$33)</f>
        <v>3590616.16</v>
      </c>
      <c r="L7" s="191">
        <f>SUMIF('Variance Analysis'!$B$30:$B$33,"Overheads",'Variance Analysis'!L$30:L$33)</f>
        <v>3598415.73</v>
      </c>
      <c r="M7" s="191">
        <f>SUMIF('Variance Analysis'!$B$30:$B$33,"Overheads",'Variance Analysis'!M$30:M$33)</f>
        <v>3821108.75</v>
      </c>
      <c r="N7" s="191">
        <f>SUMIF('Variance Analysis'!$B$30:$B$33,"Overheads",'Variance Analysis'!N$30:N$33)</f>
        <v>4356345.83</v>
      </c>
    </row>
    <row r="8" spans="1:20" s="79" customFormat="1" ht="14.25" customHeight="1">
      <c r="A8" s="190" t="s">
        <v>143</v>
      </c>
      <c r="B8" s="190" t="s">
        <v>122</v>
      </c>
      <c r="C8" s="191">
        <f>SUMIF('Variance Analysis'!$B$30:$B$33,"Production",'Variance Analysis'!C$30:C$33)</f>
        <v>35500.949999999997</v>
      </c>
      <c r="D8" s="191">
        <f>SUMIF('Variance Analysis'!$B$30:$B$33,"Production",'Variance Analysis'!D$30:D$33)</f>
        <v>24210.95</v>
      </c>
      <c r="E8" s="191">
        <f>SUMIF('Variance Analysis'!$B$30:$B$33,"Production",'Variance Analysis'!E$30:E$33)</f>
        <v>41241.32</v>
      </c>
      <c r="F8" s="191">
        <f>SUMIF('Variance Analysis'!$B$30:$B$33,"Production",'Variance Analysis'!F$30:F$33)</f>
        <v>26123</v>
      </c>
      <c r="G8" s="191">
        <f>SUMIF('Variance Analysis'!$B$30:$B$33,"Production",'Variance Analysis'!G$30:G$33)</f>
        <v>32233</v>
      </c>
      <c r="H8" s="191">
        <f>SUMIF('Variance Analysis'!$B$30:$B$33,"Production",'Variance Analysis'!H$30:H$33)</f>
        <v>31527</v>
      </c>
      <c r="I8" s="191">
        <f>SUMIF('Variance Analysis'!$B$30:$B$33,"Production",'Variance Analysis'!I$30:I$33)</f>
        <v>32471</v>
      </c>
      <c r="J8" s="191">
        <f>SUMIF('Variance Analysis'!$B$30:$B$33,"Production",'Variance Analysis'!J$30:J$33)</f>
        <v>35288</v>
      </c>
      <c r="K8" s="191">
        <f>SUMIF('Variance Analysis'!$B$30:$B$33,"Production",'Variance Analysis'!K$30:K$33)</f>
        <v>27349</v>
      </c>
      <c r="L8" s="191">
        <f>SUMIF('Variance Analysis'!$B$30:$B$33,"Production",'Variance Analysis'!L$30:L$33)</f>
        <v>27343</v>
      </c>
      <c r="M8" s="191">
        <f>SUMIF('Variance Analysis'!$B$30:$B$33,"Production",'Variance Analysis'!M$30:M$33)</f>
        <v>28172</v>
      </c>
      <c r="N8" s="191">
        <f>SUMIF('Variance Analysis'!$B$30:$B$33,"Production",'Variance Analysis'!N$30:N$33)</f>
        <v>33589</v>
      </c>
    </row>
    <row r="9" spans="1:20" s="79" customFormat="1" ht="14.25" customHeight="1">
      <c r="A9" s="190" t="s">
        <v>144</v>
      </c>
      <c r="B9" s="190" t="s">
        <v>122</v>
      </c>
      <c r="C9" s="191">
        <f>SUMIF('Variance Analysis'!$B$30:$B$33,"Production Other",'Variance Analysis'!C$30:C$33)</f>
        <v>19203.259999999998</v>
      </c>
      <c r="D9" s="191">
        <f>SUMIF('Variance Analysis'!$B$30:$B$33,"Production Other",'Variance Analysis'!D$30:D$33)</f>
        <v>31298.22</v>
      </c>
      <c r="E9" s="191">
        <f>SUMIF('Variance Analysis'!$B$30:$B$33,"Production Other",'Variance Analysis'!E$30:E$33)</f>
        <v>21242.74</v>
      </c>
      <c r="F9" s="191">
        <f>SUMIF('Variance Analysis'!$B$30:$B$33,"Production Other",'Variance Analysis'!F$30:F$33)</f>
        <v>25800</v>
      </c>
      <c r="G9" s="191">
        <f>SUMIF('Variance Analysis'!$B$30:$B$33,"Production Other",'Variance Analysis'!G$30:G$33)</f>
        <v>28652</v>
      </c>
      <c r="H9" s="191">
        <f>SUMIF('Variance Analysis'!$B$30:$B$33,"Production Other",'Variance Analysis'!H$30:H$33)</f>
        <v>31034</v>
      </c>
      <c r="I9" s="191">
        <f>SUMIF('Variance Analysis'!$B$30:$B$33,"Production Other",'Variance Analysis'!I$30:I$33)</f>
        <v>29518</v>
      </c>
      <c r="J9" s="191">
        <f>SUMIF('Variance Analysis'!$B$30:$B$33,"Production Other",'Variance Analysis'!J$30:J$33)</f>
        <v>28654</v>
      </c>
      <c r="K9" s="191">
        <f>SUMIF('Variance Analysis'!$B$30:$B$33,"Production Other",'Variance Analysis'!K$30:K$33)</f>
        <v>21938</v>
      </c>
      <c r="L9" s="191">
        <f>SUMIF('Variance Analysis'!$B$30:$B$33,"Production Other",'Variance Analysis'!L$30:L$33)</f>
        <v>30933</v>
      </c>
      <c r="M9" s="191">
        <f>SUMIF('Variance Analysis'!$B$30:$B$33,"Production Other",'Variance Analysis'!M$30:M$33)</f>
        <v>27132</v>
      </c>
      <c r="N9" s="191">
        <f>SUMIF('Variance Analysis'!$B$30:$B$33,"Production Other",'Variance Analysis'!N$30:N$33)</f>
        <v>29759</v>
      </c>
    </row>
    <row r="10" spans="1:20" s="79" customFormat="1" ht="14.25" customHeight="1">
      <c r="A10" s="107" t="s">
        <v>145</v>
      </c>
      <c r="B10" s="107" t="s">
        <v>122</v>
      </c>
      <c r="C10" s="191">
        <f>SUMIF('Variance Analysis'!$B$30:$B$33,"Revenue",'Variance Analysis'!C$30:C$33)</f>
        <v>-8460389.8399999999</v>
      </c>
      <c r="D10" s="191">
        <f>SUMIF('Variance Analysis'!$B$30:$B$33,"Revenue",'Variance Analysis'!D$30:D$33)</f>
        <v>-8149859.6999999993</v>
      </c>
      <c r="E10" s="191">
        <f>SUMIF('Variance Analysis'!$B$30:$B$33,"Revenue",'Variance Analysis'!E$30:E$33)</f>
        <v>-7531701.29</v>
      </c>
      <c r="F10" s="191">
        <f>SUMIF('Variance Analysis'!$B$30:$B$33,"Revenue",'Variance Analysis'!F$30:F$33)</f>
        <v>-7473771.8099999996</v>
      </c>
      <c r="G10" s="191">
        <f>SUMIF('Variance Analysis'!$B$30:$B$33,"Revenue",'Variance Analysis'!G$30:G$33)</f>
        <v>-7892157.04</v>
      </c>
      <c r="H10" s="191">
        <f>SUMIF('Variance Analysis'!$B$30:$B$33,"Revenue",'Variance Analysis'!H$30:H$33)</f>
        <v>-7699347.6500000004</v>
      </c>
      <c r="I10" s="191">
        <f>SUMIF('Variance Analysis'!$B$30:$B$33,"Revenue",'Variance Analysis'!I$30:I$33)</f>
        <v>-11178158.369999999</v>
      </c>
      <c r="J10" s="191">
        <f>SUMIF('Variance Analysis'!$B$30:$B$33,"Revenue",'Variance Analysis'!J$30:J$33)</f>
        <v>-9894599.1999999993</v>
      </c>
      <c r="K10" s="191">
        <f>SUMIF('Variance Analysis'!$B$30:$B$33,"Revenue",'Variance Analysis'!K$30:K$33)</f>
        <v>-10434056.43</v>
      </c>
      <c r="L10" s="191">
        <f>SUMIF('Variance Analysis'!$B$30:$B$33,"Revenue",'Variance Analysis'!L$30:L$33)</f>
        <v>-7635103.0900000008</v>
      </c>
      <c r="M10" s="191">
        <f>SUMIF('Variance Analysis'!$B$30:$B$33,"Revenue",'Variance Analysis'!M$30:M$33)</f>
        <v>-7710730.1799999997</v>
      </c>
      <c r="N10" s="191">
        <f>SUMIF('Variance Analysis'!$B$30:$B$33,"Revenue",'Variance Analysis'!N$30:N$33)</f>
        <v>-7415391.3399999999</v>
      </c>
    </row>
    <row r="11" spans="1:20" ht="14.25" customHeight="1" thickTop="1" thickBot="1">
      <c r="A11" s="50" t="s">
        <v>141</v>
      </c>
      <c r="B11" s="51" t="s">
        <v>122</v>
      </c>
      <c r="C11" s="52">
        <f>ABS(C10)-SUM(C7:C9)</f>
        <v>5050444.6000000108</v>
      </c>
      <c r="D11" s="52">
        <f t="shared" ref="D11:N11" si="0">ABS(D10)-SUM(D7:D9)</f>
        <v>3458379.4399999995</v>
      </c>
      <c r="E11" s="52">
        <f t="shared" si="0"/>
        <v>3839682.26000001</v>
      </c>
      <c r="F11" s="52">
        <f t="shared" si="0"/>
        <v>3976825.3</v>
      </c>
      <c r="G11" s="52">
        <f t="shared" si="0"/>
        <v>4293385.9399999995</v>
      </c>
      <c r="H11" s="52">
        <f t="shared" si="0"/>
        <v>4234069.25</v>
      </c>
      <c r="I11" s="52">
        <f t="shared" si="0"/>
        <v>6841506.4900000002</v>
      </c>
      <c r="J11" s="52">
        <f t="shared" si="0"/>
        <v>6231843.8199999994</v>
      </c>
      <c r="K11" s="52">
        <f t="shared" si="0"/>
        <v>6794153.2699999996</v>
      </c>
      <c r="L11" s="52">
        <f t="shared" si="0"/>
        <v>3978411.3600000008</v>
      </c>
      <c r="M11" s="52">
        <f t="shared" si="0"/>
        <v>3834317.4299999997</v>
      </c>
      <c r="N11" s="52">
        <f t="shared" si="0"/>
        <v>2995697.51</v>
      </c>
      <c r="O11" s="257"/>
      <c r="P11" s="257"/>
      <c r="Q11" s="257"/>
      <c r="R11" s="257"/>
      <c r="S11" s="257"/>
      <c r="T11" s="257"/>
    </row>
    <row r="12" spans="1:20" s="136" customFormat="1" ht="26.45" customHeight="1">
      <c r="A12" s="189" t="s">
        <v>146</v>
      </c>
      <c r="B12" s="187"/>
      <c r="C12" s="188"/>
      <c r="D12" s="188"/>
      <c r="E12" s="188"/>
      <c r="F12" s="188"/>
      <c r="G12" s="188"/>
      <c r="H12" s="188"/>
      <c r="I12" s="188"/>
      <c r="J12" s="188"/>
      <c r="K12" s="188"/>
      <c r="L12" s="188"/>
      <c r="M12" s="188"/>
      <c r="N12" s="188"/>
      <c r="O12" s="255"/>
      <c r="P12" s="255"/>
      <c r="Q12" s="255"/>
      <c r="R12" s="255"/>
      <c r="S12" s="255"/>
      <c r="T12" s="255"/>
    </row>
    <row r="13" spans="1:20" s="135" customFormat="1" ht="14.25" customHeight="1">
      <c r="A13" s="91" t="s">
        <v>141</v>
      </c>
      <c r="B13" s="91" t="s">
        <v>121</v>
      </c>
      <c r="C13" s="194" t="s">
        <v>43</v>
      </c>
      <c r="D13" s="194" t="s">
        <v>44</v>
      </c>
      <c r="E13" s="194" t="s">
        <v>45</v>
      </c>
      <c r="F13" s="194" t="s">
        <v>46</v>
      </c>
      <c r="G13" s="194" t="s">
        <v>47</v>
      </c>
      <c r="H13" s="194" t="s">
        <v>48</v>
      </c>
      <c r="I13" s="194" t="s">
        <v>49</v>
      </c>
      <c r="J13" s="194" t="s">
        <v>50</v>
      </c>
      <c r="K13" s="194" t="s">
        <v>51</v>
      </c>
      <c r="L13" s="194" t="s">
        <v>52</v>
      </c>
      <c r="M13" s="194" t="s">
        <v>53</v>
      </c>
      <c r="N13" s="194" t="s">
        <v>54</v>
      </c>
    </row>
    <row r="14" spans="1:20" s="79" customFormat="1" ht="14.25" customHeight="1">
      <c r="A14" s="190" t="s">
        <v>147</v>
      </c>
      <c r="B14" s="190" t="s">
        <v>122</v>
      </c>
      <c r="C14" s="191">
        <f>SUMIF('Variance Analysis'!$B$30:$B$33,"Overheads",'Variance Analysis'!C$34:C$37)</f>
        <v>11422413.93</v>
      </c>
      <c r="D14" s="191">
        <f>SUMIF('Variance Analysis'!$B$30:$B$33,"Overheads",'Variance Analysis'!D$34:D$37)</f>
        <v>13760706</v>
      </c>
      <c r="E14" s="191">
        <f>SUMIF('Variance Analysis'!$B$30:$B$33,"Overheads",'Variance Analysis'!E$34:E$37)</f>
        <v>13907840.720000001</v>
      </c>
      <c r="F14" s="191">
        <f>SUMIF('Variance Analysis'!$B$30:$B$33,"Overheads",'Variance Analysis'!F$34:F$37)</f>
        <v>18647198.620000001</v>
      </c>
      <c r="G14" s="191">
        <f>SUMIF('Variance Analysis'!$B$30:$B$33,"Overheads",'Variance Analysis'!G$34:G$37)</f>
        <v>20171698.659999996</v>
      </c>
      <c r="H14" s="191">
        <f>SUMIF('Variance Analysis'!$B$30:$B$33,"Overheads",'Variance Analysis'!H$34:H$37)</f>
        <v>10312374.780000001</v>
      </c>
      <c r="I14" s="191">
        <f>SUMIF('Variance Analysis'!$B$30:$B$33,"Overheads",'Variance Analysis'!I$34:I$37)</f>
        <v>9642006.7300000004</v>
      </c>
      <c r="J14" s="191">
        <f>SUMIF('Variance Analysis'!$B$30:$B$33,"Overheads",'Variance Analysis'!J$34:J$37)</f>
        <v>11352257.67</v>
      </c>
      <c r="K14" s="191">
        <f>SUMIF('Variance Analysis'!$B$30:$B$33,"Overheads",'Variance Analysis'!K$34:K$37)</f>
        <v>10349340.02</v>
      </c>
      <c r="L14" s="191">
        <f>SUMIF('Variance Analysis'!$B$30:$B$33,"Overheads",'Variance Analysis'!L$34:L$37)</f>
        <v>11122716.970000001</v>
      </c>
      <c r="M14" s="191">
        <f>SUMIF('Variance Analysis'!$B$30:$B$33,"Overheads",'Variance Analysis'!M$34:M$37)</f>
        <v>13043106.200000001</v>
      </c>
      <c r="N14" s="191">
        <f>SUMIF('Variance Analysis'!$B$30:$B$33,"Overheads",'Variance Analysis'!N$34:N$37)</f>
        <v>6755372.5199999996</v>
      </c>
    </row>
    <row r="15" spans="1:20" s="79" customFormat="1" ht="14.25" customHeight="1">
      <c r="A15" s="190" t="s">
        <v>148</v>
      </c>
      <c r="B15" s="190" t="s">
        <v>122</v>
      </c>
      <c r="C15" s="191">
        <f>SUMIF('Variance Analysis'!$B$30:$B$33,"Production",'Variance Analysis'!C$34:C$37)</f>
        <v>686673.01</v>
      </c>
      <c r="D15" s="191">
        <f>SUMIF('Variance Analysis'!$B$30:$B$33,"Production",'Variance Analysis'!D$34:D$37)</f>
        <v>867081.49</v>
      </c>
      <c r="E15" s="191">
        <f>SUMIF('Variance Analysis'!$B$30:$B$33,"Production",'Variance Analysis'!E$34:E$37)</f>
        <v>6727.15</v>
      </c>
      <c r="F15" s="191">
        <f>SUMIF('Variance Analysis'!$B$30:$B$33,"Production",'Variance Analysis'!F$34:F$37)</f>
        <v>401.530000000006</v>
      </c>
      <c r="G15" s="191">
        <f>SUMIF('Variance Analysis'!$B$30:$B$33,"Production",'Variance Analysis'!G$34:G$37)</f>
        <v>144797.4</v>
      </c>
      <c r="H15" s="191">
        <f>SUMIF('Variance Analysis'!$B$30:$B$33,"Production",'Variance Analysis'!H$34:H$37)</f>
        <v>652415.07999999996</v>
      </c>
      <c r="I15" s="191">
        <f>SUMIF('Variance Analysis'!$B$30:$B$33,"Production",'Variance Analysis'!I$34:I$37)</f>
        <v>27790.66</v>
      </c>
      <c r="J15" s="191">
        <f>SUMIF('Variance Analysis'!$B$30:$B$33,"Production",'Variance Analysis'!J$34:J$37)</f>
        <v>507467.89</v>
      </c>
      <c r="K15" s="191">
        <f>SUMIF('Variance Analysis'!$B$30:$B$33,"Production",'Variance Analysis'!K$34:K$37)</f>
        <v>241353.12</v>
      </c>
      <c r="L15" s="191">
        <f>SUMIF('Variance Analysis'!$B$30:$B$33,"Production",'Variance Analysis'!L$34:L$37)</f>
        <v>95261.1</v>
      </c>
      <c r="M15" s="191">
        <f>SUMIF('Variance Analysis'!$B$30:$B$33,"Production",'Variance Analysis'!M$34:M$37)</f>
        <v>197723.18</v>
      </c>
      <c r="N15" s="191">
        <f>SUMIF('Variance Analysis'!$B$30:$B$33,"Production",'Variance Analysis'!N$34:N$37)</f>
        <v>175247.34</v>
      </c>
    </row>
    <row r="16" spans="1:20" s="79" customFormat="1" ht="14.25" customHeight="1">
      <c r="A16" s="190" t="s">
        <v>149</v>
      </c>
      <c r="B16" s="190" t="s">
        <v>122</v>
      </c>
      <c r="C16" s="191">
        <f>SUMIF('Variance Analysis'!$B$30:$B$33,"Production Other",'Variance Analysis'!C$34:C$37)</f>
        <v>241931.03000000003</v>
      </c>
      <c r="D16" s="191">
        <f>SUMIF('Variance Analysis'!$B$30:$B$33,"Production Other",'Variance Analysis'!D$34:D$37)</f>
        <v>228177.66</v>
      </c>
      <c r="E16" s="191">
        <f>SUMIF('Variance Analysis'!$B$30:$B$33,"Production Other",'Variance Analysis'!E$34:E$37)</f>
        <v>362088.43</v>
      </c>
      <c r="F16" s="191">
        <f>SUMIF('Variance Analysis'!$B$30:$B$33,"Production Other",'Variance Analysis'!F$34:F$37)</f>
        <v>211688.28</v>
      </c>
      <c r="G16" s="191">
        <f>SUMIF('Variance Analysis'!$B$30:$B$33,"Production Other",'Variance Analysis'!G$34:G$37)</f>
        <v>237346.23</v>
      </c>
      <c r="H16" s="191">
        <f>SUMIF('Variance Analysis'!$B$30:$B$33,"Production Other",'Variance Analysis'!H$34:H$37)</f>
        <v>293131.57</v>
      </c>
      <c r="I16" s="191">
        <f>SUMIF('Variance Analysis'!$B$30:$B$33,"Production Other",'Variance Analysis'!I$34:I$37)</f>
        <v>335872.34</v>
      </c>
      <c r="J16" s="191">
        <f>SUMIF('Variance Analysis'!$B$30:$B$33,"Production Other",'Variance Analysis'!J$34:J$37)</f>
        <v>333612.56</v>
      </c>
      <c r="K16" s="191">
        <f>SUMIF('Variance Analysis'!$B$30:$B$33,"Production Other",'Variance Analysis'!K$34:K$37)</f>
        <v>288580.33</v>
      </c>
      <c r="L16" s="191">
        <f>SUMIF('Variance Analysis'!$B$30:$B$33,"Production Other",'Variance Analysis'!L$34:L$37)</f>
        <v>270114.8</v>
      </c>
      <c r="M16" s="191">
        <f>SUMIF('Variance Analysis'!$B$30:$B$33,"Production Other",'Variance Analysis'!M$34:M$37)</f>
        <v>279543.5</v>
      </c>
      <c r="N16" s="191">
        <f>SUMIF('Variance Analysis'!$B$30:$B$33,"Production Other",'Variance Analysis'!N$34:N$37)</f>
        <v>423607.52</v>
      </c>
    </row>
    <row r="17" spans="1:14" s="79" customFormat="1" ht="14.25" customHeight="1" thickBot="1">
      <c r="A17" s="107" t="s">
        <v>56</v>
      </c>
      <c r="B17" s="107" t="s">
        <v>122</v>
      </c>
      <c r="C17" s="191">
        <f>SUMIF('Variance Analysis'!$B$30:$B$33,"Revenue",'Variance Analysis'!C$34:C$37)</f>
        <v>-19894012.739999998</v>
      </c>
      <c r="D17" s="191">
        <f>SUMIF('Variance Analysis'!$B$30:$B$33,"Revenue",'Variance Analysis'!D$34:D$37)</f>
        <v>-16863304.57</v>
      </c>
      <c r="E17" s="191">
        <f>SUMIF('Variance Analysis'!$B$30:$B$33,"Revenue",'Variance Analysis'!E$34:E$37)</f>
        <v>-18634437.710000001</v>
      </c>
      <c r="F17" s="191">
        <f>SUMIF('Variance Analysis'!$B$30:$B$33,"Revenue",'Variance Analysis'!F$34:F$37)</f>
        <v>-17531805.759999998</v>
      </c>
      <c r="G17" s="191">
        <f>SUMIF('Variance Analysis'!$B$30:$B$33,"Revenue",'Variance Analysis'!G$34:G$37)</f>
        <v>-16086473.6</v>
      </c>
      <c r="H17" s="191">
        <f>SUMIF('Variance Analysis'!$B$30:$B$33,"Revenue",'Variance Analysis'!H$34:H$37)</f>
        <v>-17992774.75</v>
      </c>
      <c r="I17" s="191">
        <f>SUMIF('Variance Analysis'!$B$30:$B$33,"Revenue",'Variance Analysis'!I$34:I$37)</f>
        <v>-25540140.41</v>
      </c>
      <c r="J17" s="191">
        <f>SUMIF('Variance Analysis'!$B$30:$B$33,"Revenue",'Variance Analysis'!J$34:J$37)</f>
        <v>-23695398.210000001</v>
      </c>
      <c r="K17" s="191">
        <f>SUMIF('Variance Analysis'!$B$30:$B$33,"Revenue",'Variance Analysis'!K$34:K$37)</f>
        <v>-22536666.82</v>
      </c>
      <c r="L17" s="191">
        <f>SUMIF('Variance Analysis'!$B$30:$B$33,"Revenue",'Variance Analysis'!L$34:L$37)</f>
        <v>-18635306.310000002</v>
      </c>
      <c r="M17" s="191">
        <f>SUMIF('Variance Analysis'!$B$30:$B$33,"Revenue",'Variance Analysis'!M$34:M$37)</f>
        <v>-17104640.780000001</v>
      </c>
      <c r="N17" s="191">
        <f>SUMIF('Variance Analysis'!$B$30:$B$33,"Revenue",'Variance Analysis'!N$34:N$37)</f>
        <v>-18482607.449999999</v>
      </c>
    </row>
    <row r="18" spans="1:14" ht="14.25" customHeight="1" thickTop="1" thickBot="1">
      <c r="A18" s="50" t="s">
        <v>141</v>
      </c>
      <c r="B18" s="51" t="s">
        <v>122</v>
      </c>
      <c r="C18" s="253">
        <f>ABS(C17)-SUM(C14:C16)</f>
        <v>7542994.7699999996</v>
      </c>
      <c r="D18" s="253">
        <f t="shared" ref="D18:N18" si="1">ABS(D17)-SUM(D14:D16)</f>
        <v>2007339.42</v>
      </c>
      <c r="E18" s="253">
        <f t="shared" si="1"/>
        <v>4357781.41</v>
      </c>
      <c r="F18" s="253">
        <f t="shared" si="1"/>
        <v>-1327482.6700000055</v>
      </c>
      <c r="G18" s="253">
        <f t="shared" si="1"/>
        <v>-4467368.6899999958</v>
      </c>
      <c r="H18" s="253">
        <f t="shared" si="1"/>
        <v>6734853.3199999984</v>
      </c>
      <c r="I18" s="253">
        <f t="shared" si="1"/>
        <v>15534470.68</v>
      </c>
      <c r="J18" s="253">
        <f t="shared" si="1"/>
        <v>11502060.09</v>
      </c>
      <c r="K18" s="253">
        <f t="shared" si="1"/>
        <v>11657393.350000001</v>
      </c>
      <c r="L18" s="253">
        <f t="shared" si="1"/>
        <v>7147213.4400000013</v>
      </c>
      <c r="M18" s="253">
        <f t="shared" si="1"/>
        <v>3584267.9000000004</v>
      </c>
      <c r="N18" s="253">
        <f t="shared" si="1"/>
        <v>11128380.07</v>
      </c>
    </row>
    <row r="19" spans="1:14" s="136" customFormat="1" ht="26.45" customHeight="1">
      <c r="A19" s="189" t="s">
        <v>135</v>
      </c>
      <c r="B19" s="187"/>
      <c r="C19" s="188"/>
      <c r="D19" s="188"/>
      <c r="E19" s="188"/>
      <c r="F19" s="188"/>
      <c r="G19" s="188"/>
      <c r="H19" s="188"/>
      <c r="I19" s="188"/>
      <c r="J19" s="188"/>
      <c r="K19" s="188"/>
      <c r="L19" s="188"/>
      <c r="M19" s="188"/>
      <c r="N19" s="188"/>
    </row>
    <row r="20" spans="1:14" s="135" customFormat="1" ht="14.25" customHeight="1">
      <c r="A20" s="91" t="s">
        <v>141</v>
      </c>
      <c r="B20" s="91" t="s">
        <v>121</v>
      </c>
      <c r="C20" s="194" t="s">
        <v>43</v>
      </c>
      <c r="D20" s="194" t="s">
        <v>44</v>
      </c>
      <c r="E20" s="194" t="s">
        <v>45</v>
      </c>
      <c r="F20" s="194" t="s">
        <v>46</v>
      </c>
      <c r="G20" s="194" t="s">
        <v>47</v>
      </c>
      <c r="H20" s="194" t="s">
        <v>48</v>
      </c>
      <c r="I20" s="194" t="s">
        <v>49</v>
      </c>
      <c r="J20" s="194" t="s">
        <v>50</v>
      </c>
      <c r="K20" s="194" t="s">
        <v>51</v>
      </c>
      <c r="L20" s="194" t="s">
        <v>52</v>
      </c>
      <c r="M20" s="194" t="s">
        <v>53</v>
      </c>
      <c r="N20" s="194" t="s">
        <v>54</v>
      </c>
    </row>
    <row r="21" spans="1:14" s="79" customFormat="1" ht="14.25" customHeight="1">
      <c r="A21" s="190" t="s">
        <v>147</v>
      </c>
      <c r="B21" s="190" t="s">
        <v>122</v>
      </c>
      <c r="C21" s="191">
        <f>SUMIF('Variance Analysis'!$B$38:$B$41,"Overheads",'Variance Analysis'!C$38:C$41)</f>
        <v>5155467.82</v>
      </c>
      <c r="D21" s="191">
        <f>SUMIF('Variance Analysis'!$B$38:$B$41,"Overheads",'Variance Analysis'!D$38:D$41)</f>
        <v>4107219.28</v>
      </c>
      <c r="E21" s="191">
        <f>SUMIF('Variance Analysis'!$B$38:$B$41,"Overheads",'Variance Analysis'!E$38:E$41)</f>
        <v>5551987.3199999994</v>
      </c>
      <c r="F21" s="191">
        <f>SUMIF('Variance Analysis'!$B$38:$B$41,"Overheads",'Variance Analysis'!F$38:F$41)</f>
        <v>4670026.4399999995</v>
      </c>
      <c r="G21" s="191">
        <f>SUMIF('Variance Analysis'!$B$38:$B$41,"Overheads",'Variance Analysis'!G$38:G$41)</f>
        <v>3971268.39</v>
      </c>
      <c r="H21" s="191">
        <f>SUMIF('Variance Analysis'!$B$38:$B$41,"Overheads",'Variance Analysis'!H$38:H$41)</f>
        <v>2944600.0500000003</v>
      </c>
      <c r="I21" s="191">
        <f>SUMIF('Variance Analysis'!$B$38:$B$41,"Overheads",'Variance Analysis'!I$38:I$41)</f>
        <v>3143819.16</v>
      </c>
      <c r="J21" s="191">
        <f>SUMIF('Variance Analysis'!$B$38:$B$41,"Overheads",'Variance Analysis'!J$38:J$41)</f>
        <v>2699686.7399999998</v>
      </c>
      <c r="K21" s="191">
        <f>SUMIF('Variance Analysis'!$B$38:$B$41,"Overheads",'Variance Analysis'!K$38:K$41)</f>
        <v>3795500.0700000003</v>
      </c>
      <c r="L21" s="191">
        <f>SUMIF('Variance Analysis'!$B$38:$B$41,"Overheads",'Variance Analysis'!L$38:L$41)</f>
        <v>2066688.56</v>
      </c>
      <c r="M21" s="191">
        <f>SUMIF('Variance Analysis'!$B$38:$B$41,"Overheads",'Variance Analysis'!M$38:M$41)</f>
        <v>2668702.2799999993</v>
      </c>
      <c r="N21" s="191">
        <f>SUMIF('Variance Analysis'!$B$38:$B$41,"Overheads",'Variance Analysis'!N$38:N$41)</f>
        <v>4761502.4300000006</v>
      </c>
    </row>
    <row r="22" spans="1:14" s="79" customFormat="1" ht="14.25" customHeight="1">
      <c r="A22" s="190" t="s">
        <v>148</v>
      </c>
      <c r="B22" s="190" t="s">
        <v>122</v>
      </c>
      <c r="C22" s="191">
        <f>SUMIF('Variance Analysis'!$B$38:$B$41,"Production",'Variance Analysis'!C$38:C$41)</f>
        <v>125993.22</v>
      </c>
      <c r="D22" s="191">
        <f>SUMIF('Variance Analysis'!$B$38:$B$41,"Production",'Variance Analysis'!D$38:D$41)</f>
        <v>75075.8</v>
      </c>
      <c r="E22" s="191">
        <f>SUMIF('Variance Analysis'!$B$38:$B$41,"Production",'Variance Analysis'!E$38:E$41)</f>
        <v>44153.440000000002</v>
      </c>
      <c r="F22" s="191">
        <f>SUMIF('Variance Analysis'!$B$38:$B$41,"Production",'Variance Analysis'!F$38:F$41)</f>
        <v>71345.01999999999</v>
      </c>
      <c r="G22" s="191">
        <f>SUMIF('Variance Analysis'!$B$38:$B$41,"Production",'Variance Analysis'!G$38:G$41)</f>
        <v>-20479.969999999998</v>
      </c>
      <c r="H22" s="191">
        <f>SUMIF('Variance Analysis'!$B$38:$B$41,"Production",'Variance Analysis'!H$38:H$41)</f>
        <v>9632.59</v>
      </c>
      <c r="I22" s="191">
        <f>SUMIF('Variance Analysis'!$B$38:$B$41,"Production",'Variance Analysis'!I$38:I$41)</f>
        <v>476546.05</v>
      </c>
      <c r="J22" s="191">
        <f>SUMIF('Variance Analysis'!$B$38:$B$41,"Production",'Variance Analysis'!J$38:J$41)</f>
        <v>464219.42</v>
      </c>
      <c r="K22" s="191">
        <f>SUMIF('Variance Analysis'!$B$38:$B$41,"Production",'Variance Analysis'!K$38:K$41)</f>
        <v>221113.88999999998</v>
      </c>
      <c r="L22" s="191">
        <f>SUMIF('Variance Analysis'!$B$38:$B$41,"Production",'Variance Analysis'!L$38:L$41)</f>
        <v>224277.79</v>
      </c>
      <c r="M22" s="191">
        <f>SUMIF('Variance Analysis'!$B$38:$B$41,"Production",'Variance Analysis'!M$38:M$41)</f>
        <v>263709.95</v>
      </c>
      <c r="N22" s="191">
        <f>SUMIF('Variance Analysis'!$B$38:$B$41,"Production",'Variance Analysis'!N$38:N$41)</f>
        <v>-77601.91</v>
      </c>
    </row>
    <row r="23" spans="1:14" s="79" customFormat="1" ht="14.25" customHeight="1">
      <c r="A23" s="190" t="s">
        <v>149</v>
      </c>
      <c r="B23" s="190" t="s">
        <v>122</v>
      </c>
      <c r="C23" s="191">
        <f>SUMIF('Variance Analysis'!$B$38:$B$41,"Production Other",'Variance Analysis'!C$38:C$41)</f>
        <v>855.07000000000016</v>
      </c>
      <c r="D23" s="191">
        <f>SUMIF('Variance Analysis'!$B$38:$B$41,"Production Other",'Variance Analysis'!D$38:D$41)</f>
        <v>8643.11</v>
      </c>
      <c r="E23" s="191">
        <f>SUMIF('Variance Analysis'!$B$38:$B$41,"Production Other",'Variance Analysis'!E$38:E$41)</f>
        <v>7004.54</v>
      </c>
      <c r="F23" s="191">
        <f>SUMIF('Variance Analysis'!$B$38:$B$41,"Production Other",'Variance Analysis'!F$38:F$41)</f>
        <v>-4277.2699999999986</v>
      </c>
      <c r="G23" s="191">
        <f>SUMIF('Variance Analysis'!$B$38:$B$41,"Production Other",'Variance Analysis'!G$38:G$41)</f>
        <v>9314.75</v>
      </c>
      <c r="H23" s="191">
        <f>SUMIF('Variance Analysis'!$B$38:$B$41,"Production Other",'Variance Analysis'!H$38:H$41)</f>
        <v>8194.59</v>
      </c>
      <c r="I23" s="191">
        <f>SUMIF('Variance Analysis'!$B$38:$B$41,"Production Other",'Variance Analysis'!I$38:I$41)</f>
        <v>12985.24</v>
      </c>
      <c r="J23" s="191">
        <f>SUMIF('Variance Analysis'!$B$38:$B$41,"Production Other",'Variance Analysis'!J$38:J$41)</f>
        <v>8327.32</v>
      </c>
      <c r="K23" s="191">
        <f>SUMIF('Variance Analysis'!$B$38:$B$41,"Production Other",'Variance Analysis'!K$38:K$41)</f>
        <v>12745.36</v>
      </c>
      <c r="L23" s="191">
        <f>SUMIF('Variance Analysis'!$B$38:$B$41,"Production Other",'Variance Analysis'!L$38:L$41)</f>
        <v>7073.15</v>
      </c>
      <c r="M23" s="191">
        <f>SUMIF('Variance Analysis'!$B$38:$B$41,"Production Other",'Variance Analysis'!M$38:M$41)</f>
        <v>8678.7800000000007</v>
      </c>
      <c r="N23" s="191">
        <f>SUMIF('Variance Analysis'!$B$38:$B$41,"Production Other",'Variance Analysis'!N$38:N$41)</f>
        <v>12419.05</v>
      </c>
    </row>
    <row r="24" spans="1:14" s="79" customFormat="1" ht="14.25" customHeight="1">
      <c r="A24" s="107" t="s">
        <v>56</v>
      </c>
      <c r="B24" s="107" t="s">
        <v>122</v>
      </c>
      <c r="C24" s="191">
        <f>SUMIF('Variance Analysis'!$B$38:$B$41,"Revenue",'Variance Analysis'!C$38:C$41)</f>
        <v>-14823183.890000001</v>
      </c>
      <c r="D24" s="191">
        <f>SUMIF('Variance Analysis'!$B$38:$B$41,"Revenue",'Variance Analysis'!D$38:D$41)</f>
        <v>-16339448.65</v>
      </c>
      <c r="E24" s="191">
        <f>SUMIF('Variance Analysis'!$B$38:$B$41,"Revenue",'Variance Analysis'!E$38:E$41)</f>
        <v>-14895162.68</v>
      </c>
      <c r="F24" s="191">
        <f>SUMIF('Variance Analysis'!$B$38:$B$41,"Revenue",'Variance Analysis'!F$38:F$41)</f>
        <v>-12698823.350000001</v>
      </c>
      <c r="G24" s="191">
        <f>SUMIF('Variance Analysis'!$B$38:$B$41,"Revenue",'Variance Analysis'!G$38:G$41)</f>
        <v>-14008587.450000001</v>
      </c>
      <c r="H24" s="191">
        <f>SUMIF('Variance Analysis'!$B$38:$B$41,"Revenue",'Variance Analysis'!H$38:H$41)</f>
        <v>-12192418.84</v>
      </c>
      <c r="I24" s="191">
        <f>SUMIF('Variance Analysis'!$B$38:$B$41,"Revenue",'Variance Analysis'!I$38:I$41)</f>
        <v>-17974980.299999997</v>
      </c>
      <c r="J24" s="191">
        <f>SUMIF('Variance Analysis'!$B$38:$B$41,"Revenue",'Variance Analysis'!J$38:J$41)</f>
        <v>-17248286.52</v>
      </c>
      <c r="K24" s="191">
        <f>SUMIF('Variance Analysis'!$B$38:$B$41,"Revenue",'Variance Analysis'!K$38:K$41)</f>
        <v>-17157766.699999999</v>
      </c>
      <c r="L24" s="191">
        <f>SUMIF('Variance Analysis'!$B$38:$B$41,"Revenue",'Variance Analysis'!L$38:L$41)</f>
        <v>-17481320.02</v>
      </c>
      <c r="M24" s="191">
        <f>SUMIF('Variance Analysis'!$B$38:$B$41,"Revenue",'Variance Analysis'!M$38:M$41)</f>
        <v>-17365877.739999998</v>
      </c>
      <c r="N24" s="191">
        <f>SUMIF('Variance Analysis'!$B$38:$B$41,"Revenue",'Variance Analysis'!N$38:N$41)</f>
        <v>-18008731.18</v>
      </c>
    </row>
    <row r="25" spans="1:14" s="79" customFormat="1" ht="14.25" customHeight="1">
      <c r="A25" s="259" t="s">
        <v>141</v>
      </c>
      <c r="B25" s="107"/>
      <c r="C25" s="195">
        <f>ABS(C24)-SUM(C21:C23)</f>
        <v>9540867.7800000012</v>
      </c>
      <c r="D25" s="195">
        <f t="shared" ref="D25:N25" si="2">ABS(D24)-SUM(D21:D23)</f>
        <v>12148510.460000001</v>
      </c>
      <c r="E25" s="195">
        <f t="shared" si="2"/>
        <v>9292017.379999999</v>
      </c>
      <c r="F25" s="195">
        <f t="shared" si="2"/>
        <v>7961729.160000002</v>
      </c>
      <c r="G25" s="195">
        <f t="shared" si="2"/>
        <v>10048484.280000001</v>
      </c>
      <c r="H25" s="195">
        <f t="shared" si="2"/>
        <v>9229991.6099999994</v>
      </c>
      <c r="I25" s="195">
        <f t="shared" si="2"/>
        <v>14341629.849999998</v>
      </c>
      <c r="J25" s="195">
        <f t="shared" si="2"/>
        <v>14076053.039999999</v>
      </c>
      <c r="K25" s="195">
        <f t="shared" si="2"/>
        <v>13128407.379999999</v>
      </c>
      <c r="L25" s="195">
        <f t="shared" si="2"/>
        <v>15183280.52</v>
      </c>
      <c r="M25" s="195">
        <f t="shared" si="2"/>
        <v>14424786.729999999</v>
      </c>
      <c r="N25" s="195">
        <f t="shared" si="2"/>
        <v>13312411.609999999</v>
      </c>
    </row>
    <row r="26" spans="1:14" s="136" customFormat="1" ht="26.45" customHeight="1">
      <c r="A26" s="189" t="s">
        <v>150</v>
      </c>
      <c r="B26" s="187"/>
      <c r="C26" s="188"/>
      <c r="D26" s="188"/>
      <c r="E26" s="188"/>
      <c r="F26" s="188"/>
      <c r="G26" s="188"/>
      <c r="H26" s="188"/>
      <c r="I26" s="188"/>
      <c r="J26" s="188"/>
      <c r="K26" s="188"/>
      <c r="L26" s="188"/>
      <c r="M26" s="188"/>
      <c r="N26" s="188"/>
    </row>
    <row r="27" spans="1:14" s="135" customFormat="1" ht="14.25" customHeight="1">
      <c r="A27" s="91" t="s">
        <v>141</v>
      </c>
      <c r="B27" s="91" t="s">
        <v>121</v>
      </c>
      <c r="C27" s="194" t="s">
        <v>43</v>
      </c>
      <c r="D27" s="194" t="s">
        <v>44</v>
      </c>
      <c r="E27" s="194" t="s">
        <v>45</v>
      </c>
      <c r="F27" s="194" t="s">
        <v>46</v>
      </c>
      <c r="G27" s="194" t="s">
        <v>47</v>
      </c>
      <c r="H27" s="194" t="s">
        <v>48</v>
      </c>
      <c r="I27" s="194" t="s">
        <v>49</v>
      </c>
      <c r="J27" s="194" t="s">
        <v>50</v>
      </c>
      <c r="K27" s="194" t="s">
        <v>51</v>
      </c>
      <c r="L27" s="194" t="s">
        <v>52</v>
      </c>
      <c r="M27" s="194" t="s">
        <v>53</v>
      </c>
      <c r="N27" s="194" t="s">
        <v>54</v>
      </c>
    </row>
    <row r="28" spans="1:14" s="79" customFormat="1" ht="14.25" customHeight="1">
      <c r="A28" s="190" t="s">
        <v>147</v>
      </c>
      <c r="B28" s="190" t="s">
        <v>122</v>
      </c>
      <c r="C28" s="191">
        <f>SUMIF('Variance Analysis'!$B$42:$B$45,"Overheads",'Variance Analysis'!C$42:C$45)</f>
        <v>19933122.77999999</v>
      </c>
      <c r="D28" s="191">
        <f>SUMIF('Variance Analysis'!$B$42:$B$45,"Overheads",'Variance Analysis'!D$42:D$45)</f>
        <v>22503896.370000001</v>
      </c>
      <c r="E28" s="191">
        <f>SUMIF('Variance Analysis'!$B$42:$B$45,"Overheads",'Variance Analysis'!E$42:E$45)</f>
        <v>23089363.00999999</v>
      </c>
      <c r="F28" s="191">
        <f>SUMIF('Variance Analysis'!$B$42:$B$45,"Overheads",'Variance Analysis'!F$42:F$45)</f>
        <v>26762248.57</v>
      </c>
      <c r="G28" s="191">
        <f>SUMIF('Variance Analysis'!$B$42:$B$45,"Overheads",'Variance Analysis'!G$42:G$45)</f>
        <v>27680853.149999999</v>
      </c>
      <c r="H28" s="191">
        <f>SUMIF('Variance Analysis'!$B$42:$B$45,"Overheads",'Variance Analysis'!H$42:H$45)</f>
        <v>16659692.230000002</v>
      </c>
      <c r="I28" s="191">
        <f>SUMIF('Variance Analysis'!$B$42:$B$45,"Overheads",'Variance Analysis'!I$42:I$45)</f>
        <v>17060488.77</v>
      </c>
      <c r="J28" s="191">
        <f>SUMIF('Variance Analysis'!$B$42:$B$45,"Overheads",'Variance Analysis'!J$42:J$45)</f>
        <v>17650757.789999999</v>
      </c>
      <c r="K28" s="191">
        <f>SUMIF('Variance Analysis'!$B$42:$B$45,"Overheads",'Variance Analysis'!K$42:K$45)</f>
        <v>17735456.25</v>
      </c>
      <c r="L28" s="191">
        <f>SUMIF('Variance Analysis'!$B$42:$B$45,"Overheads",'Variance Analysis'!L$42:L$45)</f>
        <v>16787821.260000002</v>
      </c>
      <c r="M28" s="191">
        <f>SUMIF('Variance Analysis'!$B$42:$B$45,"Overheads",'Variance Analysis'!M$42:M$45)</f>
        <v>19532917.230000004</v>
      </c>
      <c r="N28" s="191">
        <f>SUMIF('Variance Analysis'!$B$42:$B$45,"Overheads",'Variance Analysis'!N$42:N$45)</f>
        <v>15873220.780000001</v>
      </c>
    </row>
    <row r="29" spans="1:14" s="79" customFormat="1" ht="14.25" customHeight="1">
      <c r="A29" s="190" t="s">
        <v>148</v>
      </c>
      <c r="B29" s="190" t="s">
        <v>122</v>
      </c>
      <c r="C29" s="191">
        <f>SUMIF('Variance Analysis'!$B$42:$B$45,"Production",'Variance Analysis'!C$42:C$45)</f>
        <v>848167.17999999993</v>
      </c>
      <c r="D29" s="191">
        <f>SUMIF('Variance Analysis'!$B$42:$B$45,"Production",'Variance Analysis'!D$42:D$45)</f>
        <v>966368.24</v>
      </c>
      <c r="E29" s="191">
        <f>SUMIF('Variance Analysis'!$B$42:$B$45,"Production",'Variance Analysis'!E$42:E$45)</f>
        <v>92121.91</v>
      </c>
      <c r="F29" s="191">
        <f>SUMIF('Variance Analysis'!$B$42:$B$45,"Production",'Variance Analysis'!F$42:F$45)</f>
        <v>97869.549999999988</v>
      </c>
      <c r="G29" s="191">
        <f>SUMIF('Variance Analysis'!$B$42:$B$45,"Production",'Variance Analysis'!G$42:G$45)</f>
        <v>156550.43</v>
      </c>
      <c r="H29" s="191">
        <f>SUMIF('Variance Analysis'!$B$42:$B$45,"Production",'Variance Analysis'!H$42:H$45)</f>
        <v>693574.66999999993</v>
      </c>
      <c r="I29" s="191">
        <f>SUMIF('Variance Analysis'!$B$42:$B$45,"Production",'Variance Analysis'!I$42:I$45)</f>
        <v>536807.71</v>
      </c>
      <c r="J29" s="191">
        <f>SUMIF('Variance Analysis'!$B$42:$B$45,"Production",'Variance Analysis'!J$42:J$45)</f>
        <v>1006975.31</v>
      </c>
      <c r="K29" s="191">
        <f>SUMIF('Variance Analysis'!$B$42:$B$45,"Production",'Variance Analysis'!K$42:K$45)</f>
        <v>489816.01</v>
      </c>
      <c r="L29" s="191">
        <f>SUMIF('Variance Analysis'!$B$42:$B$45,"Production",'Variance Analysis'!L$42:L$45)</f>
        <v>346881.89</v>
      </c>
      <c r="M29" s="191">
        <f>SUMIF('Variance Analysis'!$B$42:$B$45,"Production",'Variance Analysis'!M$42:M$45)</f>
        <v>489605.13</v>
      </c>
      <c r="N29" s="191">
        <f>SUMIF('Variance Analysis'!$B$42:$B$45,"Production",'Variance Analysis'!N$42:N$45)</f>
        <v>131234.43</v>
      </c>
    </row>
    <row r="30" spans="1:14" s="79" customFormat="1" ht="14.25" customHeight="1">
      <c r="A30" s="190" t="s">
        <v>149</v>
      </c>
      <c r="B30" s="190" t="s">
        <v>122</v>
      </c>
      <c r="C30" s="191">
        <f>SUMIF('Variance Analysis'!$B$42:$B$45,"Production Other",'Variance Analysis'!C$42:C$45)</f>
        <v>261989.36000000004</v>
      </c>
      <c r="D30" s="191">
        <f>SUMIF('Variance Analysis'!$B$42:$B$45,"Production Other",'Variance Analysis'!D$42:D$45)</f>
        <v>268118.99</v>
      </c>
      <c r="E30" s="191">
        <f>SUMIF('Variance Analysis'!$B$42:$B$45,"Production Other",'Variance Analysis'!E$42:E$45)</f>
        <v>390335.70999999996</v>
      </c>
      <c r="F30" s="191">
        <f>SUMIF('Variance Analysis'!$B$42:$B$45,"Production Other",'Variance Analysis'!F$42:F$45)</f>
        <v>233211.01</v>
      </c>
      <c r="G30" s="191">
        <f>SUMIF('Variance Analysis'!$B$42:$B$45,"Production Other",'Variance Analysis'!G$42:G$45)</f>
        <v>275312.98</v>
      </c>
      <c r="H30" s="191">
        <f>SUMIF('Variance Analysis'!$B$42:$B$45,"Production Other",'Variance Analysis'!H$42:H$45)</f>
        <v>332360.16000000003</v>
      </c>
      <c r="I30" s="191">
        <f>SUMIF('Variance Analysis'!$B$42:$B$45,"Production Other",'Variance Analysis'!I$42:I$45)</f>
        <v>378375.58</v>
      </c>
      <c r="J30" s="191">
        <f>SUMIF('Variance Analysis'!$B$42:$B$45,"Production Other",'Variance Analysis'!J$42:J$45)</f>
        <v>370593.88</v>
      </c>
      <c r="K30" s="191">
        <f>SUMIF('Variance Analysis'!$B$42:$B$45,"Production Other",'Variance Analysis'!K$42:K$45)</f>
        <v>323263.69</v>
      </c>
      <c r="L30" s="191">
        <f>SUMIF('Variance Analysis'!$B$42:$B$45,"Production Other",'Variance Analysis'!L$42:L$45)</f>
        <v>308120.95</v>
      </c>
      <c r="M30" s="191">
        <f>SUMIF('Variance Analysis'!$B$42:$B$45,"Production Other",'Variance Analysis'!M$42:M$45)</f>
        <v>315354.28000000003</v>
      </c>
      <c r="N30" s="191">
        <f>SUMIF('Variance Analysis'!$B$42:$B$45,"Production Other",'Variance Analysis'!N$42:N$45)</f>
        <v>465785.57</v>
      </c>
    </row>
    <row r="31" spans="1:14" s="79" customFormat="1" ht="14.25" customHeight="1">
      <c r="A31" s="107" t="s">
        <v>56</v>
      </c>
      <c r="B31" s="107" t="s">
        <v>122</v>
      </c>
      <c r="C31" s="191">
        <f>SUMIF('Variance Analysis'!$B$42:$B$45,"Revenue",'Variance Analysis'!C$42:C$45)</f>
        <v>-43177586.469999999</v>
      </c>
      <c r="D31" s="191">
        <f>SUMIF('Variance Analysis'!$B$42:$B$45,"Revenue",'Variance Analysis'!D$42:D$45)</f>
        <v>-41352612.920000002</v>
      </c>
      <c r="E31" s="191">
        <f>SUMIF('Variance Analysis'!$B$42:$B$45,"Revenue",'Variance Analysis'!E$42:E$45)</f>
        <v>-41061301.68</v>
      </c>
      <c r="F31" s="191">
        <f>SUMIF('Variance Analysis'!$B$42:$B$45,"Revenue",'Variance Analysis'!F$42:F$45)</f>
        <v>-37704400.920000002</v>
      </c>
      <c r="G31" s="191">
        <f>SUMIF('Variance Analysis'!$B$42:$B$45,"Revenue",'Variance Analysis'!G$42:G$45)</f>
        <v>-37987218.090000004</v>
      </c>
      <c r="H31" s="191">
        <f>SUMIF('Variance Analysis'!$B$42:$B$45,"Revenue",'Variance Analysis'!H$42:H$45)</f>
        <v>-37884541.239999995</v>
      </c>
      <c r="I31" s="191">
        <f>SUMIF('Variance Analysis'!$B$42:$B$45,"Revenue",'Variance Analysis'!I$42:I$45)</f>
        <v>-54693279.079999998</v>
      </c>
      <c r="J31" s="191">
        <f>SUMIF('Variance Analysis'!$B$42:$B$45,"Revenue",'Variance Analysis'!J$42:J$45)</f>
        <v>-50838283.929999992</v>
      </c>
      <c r="K31" s="191">
        <f>SUMIF('Variance Analysis'!$B$42:$B$45,"Revenue",'Variance Analysis'!K$42:K$45)</f>
        <v>-50128489.950000003</v>
      </c>
      <c r="L31" s="191">
        <f>SUMIF('Variance Analysis'!$B$42:$B$45,"Revenue",'Variance Analysis'!L$42:L$45)</f>
        <v>-43751729.420000002</v>
      </c>
      <c r="M31" s="191">
        <f>SUMIF('Variance Analysis'!$B$42:$B$45,"Revenue",'Variance Analysis'!M$42:M$45)</f>
        <v>-42181248.700000003</v>
      </c>
      <c r="N31" s="191">
        <f>SUMIF('Variance Analysis'!$B$42:$B$45,"Revenue",'Variance Analysis'!N$42:N$45)</f>
        <v>-43906729.969999999</v>
      </c>
    </row>
    <row r="32" spans="1:14" s="79" customFormat="1" ht="14.25" customHeight="1">
      <c r="A32" s="259" t="s">
        <v>141</v>
      </c>
      <c r="B32" s="107"/>
      <c r="C32" s="195">
        <f>ABS(C31)-SUM(C28:C30)</f>
        <v>22134307.15000001</v>
      </c>
      <c r="D32" s="195">
        <f t="shared" ref="D32:N32" si="3">ABS(D31)-SUM(D28:D30)</f>
        <v>17614229.320000004</v>
      </c>
      <c r="E32" s="195">
        <f t="shared" si="3"/>
        <v>17489481.050000008</v>
      </c>
      <c r="F32" s="195">
        <f t="shared" si="3"/>
        <v>10611071.789999999</v>
      </c>
      <c r="G32" s="195">
        <f t="shared" si="3"/>
        <v>9874501.5300000049</v>
      </c>
      <c r="H32" s="195">
        <f t="shared" si="3"/>
        <v>20198914.179999992</v>
      </c>
      <c r="I32" s="195">
        <f t="shared" si="3"/>
        <v>36717607.019999996</v>
      </c>
      <c r="J32" s="195">
        <f t="shared" si="3"/>
        <v>31809956.949999996</v>
      </c>
      <c r="K32" s="195">
        <f t="shared" si="3"/>
        <v>31579954</v>
      </c>
      <c r="L32" s="195">
        <f t="shared" si="3"/>
        <v>26308905.32</v>
      </c>
      <c r="M32" s="195">
        <f t="shared" si="3"/>
        <v>21843372.059999999</v>
      </c>
      <c r="N32" s="195">
        <f t="shared" si="3"/>
        <v>27436489.189999998</v>
      </c>
    </row>
    <row r="33" spans="1:14" s="88" customFormat="1" ht="36.950000000000003" customHeight="1">
      <c r="A33" s="198" t="s">
        <v>151</v>
      </c>
      <c r="B33" s="196"/>
      <c r="C33" s="197"/>
      <c r="D33" s="197"/>
      <c r="E33" s="197"/>
      <c r="F33" s="197"/>
      <c r="G33" s="197"/>
      <c r="H33" s="197"/>
      <c r="I33" s="197"/>
      <c r="J33" s="197"/>
      <c r="K33" s="197"/>
      <c r="L33" s="197"/>
      <c r="M33" s="197"/>
      <c r="N33" s="197"/>
    </row>
    <row r="34" spans="1:14" s="88" customFormat="1" ht="14.25" customHeight="1">
      <c r="A34" s="196"/>
      <c r="B34" s="196"/>
      <c r="C34" s="197"/>
      <c r="D34" s="197"/>
      <c r="E34" s="197"/>
      <c r="F34" s="197"/>
      <c r="G34" s="197"/>
      <c r="H34" s="197"/>
      <c r="I34" s="197"/>
      <c r="J34" s="197"/>
      <c r="K34" s="197"/>
      <c r="L34" s="197"/>
      <c r="M34" s="197"/>
      <c r="N34" s="197"/>
    </row>
    <row r="35" spans="1:14" s="90" customFormat="1" ht="20.100000000000001">
      <c r="A35" s="140" t="s">
        <v>140</v>
      </c>
      <c r="B35" s="91" t="s">
        <v>121</v>
      </c>
      <c r="C35" s="101" t="s">
        <v>43</v>
      </c>
      <c r="D35" s="101" t="s">
        <v>44</v>
      </c>
      <c r="E35" s="101" t="s">
        <v>45</v>
      </c>
      <c r="F35" s="101" t="s">
        <v>46</v>
      </c>
      <c r="G35" s="101" t="s">
        <v>47</v>
      </c>
      <c r="H35" s="101" t="s">
        <v>48</v>
      </c>
      <c r="I35" s="101" t="s">
        <v>49</v>
      </c>
      <c r="J35" s="101" t="s">
        <v>50</v>
      </c>
      <c r="K35" s="101" t="s">
        <v>51</v>
      </c>
      <c r="L35" s="101" t="s">
        <v>52</v>
      </c>
      <c r="M35" s="101" t="s">
        <v>53</v>
      </c>
      <c r="N35" s="101" t="s">
        <v>54</v>
      </c>
    </row>
    <row r="36" spans="1:14" ht="14.25" customHeight="1">
      <c r="A36" s="190" t="s">
        <v>152</v>
      </c>
      <c r="B36" s="190" t="s">
        <v>122</v>
      </c>
      <c r="C36" s="191">
        <f>SUMIF('Variance Analysis'!$B$9:$B$12,"Overheads",'Variance Analysis'!C$9:C$12)</f>
        <v>2870946.71</v>
      </c>
      <c r="D36" s="191">
        <f>SUMIF('Variance Analysis'!$B$9:$B$12,"Overheads",'Variance Analysis'!D$9:D$12)</f>
        <v>2893964.8600000003</v>
      </c>
      <c r="E36" s="191">
        <f>SUMIF('Variance Analysis'!$B$9:$B$12,"Overheads",'Variance Analysis'!E$9:E$12)</f>
        <v>4946553.25</v>
      </c>
      <c r="F36" s="191">
        <f>SUMIF('Variance Analysis'!$B$9:$B$12,"Overheads",'Variance Analysis'!F$9:F$12)</f>
        <v>3649852.2800000003</v>
      </c>
      <c r="G36" s="191">
        <f>SUMIF('Variance Analysis'!$B$9:$B$12,"Overheads",'Variance Analysis'!G$9:G$12)</f>
        <v>3390311.38</v>
      </c>
      <c r="H36" s="191">
        <f>SUMIF('Variance Analysis'!$B$9:$B$12,"Overheads",'Variance Analysis'!H$9:H$12)</f>
        <v>3296135.35</v>
      </c>
      <c r="I36" s="191">
        <f>SUMIF('Variance Analysis'!$B$9:$B$12,"Overheads",'Variance Analysis'!I$9:I$12)</f>
        <v>3371678.94</v>
      </c>
      <c r="J36" s="191">
        <f>SUMIF('Variance Analysis'!$B$9:$B$12,"Overheads",'Variance Analysis'!J$9:J$12)</f>
        <v>3486089.18</v>
      </c>
      <c r="K36" s="191">
        <f>SUMIF('Variance Analysis'!$B$9:$B$12,"Overheads",'Variance Analysis'!K$9:K$12)</f>
        <v>3420874.4299999997</v>
      </c>
      <c r="L36" s="191">
        <f>SUMIF('Variance Analysis'!$B$9:$B$12,"Overheads",'Variance Analysis'!L$9:L$12)</f>
        <v>3482686.52</v>
      </c>
      <c r="M36" s="191">
        <f>SUMIF('Variance Analysis'!$B$9:$B$12,"Overheads",'Variance Analysis'!M$9:M$12)</f>
        <v>3359577.0700000003</v>
      </c>
      <c r="N36" s="191">
        <f>SUMIF('Variance Analysis'!$B$9:$B$12,"Overheads",'Variance Analysis'!N$9:N$12)</f>
        <v>3881716.73</v>
      </c>
    </row>
    <row r="37" spans="1:14" ht="14.25" customHeight="1">
      <c r="A37" s="190" t="s">
        <v>153</v>
      </c>
      <c r="B37" s="190" t="s">
        <v>122</v>
      </c>
      <c r="C37" s="191">
        <f>SUMIF('Variance Analysis'!$B$9:$B$12,"Production",'Variance Analysis'!C$9:C$12)</f>
        <v>30000</v>
      </c>
      <c r="D37" s="191">
        <f>SUMIF('Variance Analysis'!$B$9:$B$12,"Production",'Variance Analysis'!D$9:D$12)</f>
        <v>30000</v>
      </c>
      <c r="E37" s="191">
        <f>SUMIF('Variance Analysis'!$B$9:$B$12,"Production",'Variance Analysis'!E$9:E$12)</f>
        <v>30000</v>
      </c>
      <c r="F37" s="191">
        <f>SUMIF('Variance Analysis'!$B$9:$B$12,"Production",'Variance Analysis'!F$9:F$12)</f>
        <v>30000</v>
      </c>
      <c r="G37" s="191">
        <f>SUMIF('Variance Analysis'!$B$9:$B$12,"Production",'Variance Analysis'!G$9:G$12)</f>
        <v>30000</v>
      </c>
      <c r="H37" s="191">
        <f>SUMIF('Variance Analysis'!$B$9:$B$12,"Production",'Variance Analysis'!H$9:H$12)</f>
        <v>30000</v>
      </c>
      <c r="I37" s="191">
        <f>SUMIF('Variance Analysis'!$B$9:$B$12,"Production",'Variance Analysis'!I$9:I$12)</f>
        <v>30000</v>
      </c>
      <c r="J37" s="191">
        <f>SUMIF('Variance Analysis'!$B$9:$B$12,"Production",'Variance Analysis'!J$9:J$12)</f>
        <v>30000</v>
      </c>
      <c r="K37" s="191">
        <f>SUMIF('Variance Analysis'!$B$9:$B$12,"Production",'Variance Analysis'!K$9:K$12)</f>
        <v>30000</v>
      </c>
      <c r="L37" s="191">
        <f>SUMIF('Variance Analysis'!$B$9:$B$12,"Production",'Variance Analysis'!L$9:L$12)</f>
        <v>30000</v>
      </c>
      <c r="M37" s="191">
        <f>SUMIF('Variance Analysis'!$B$9:$B$12,"Production",'Variance Analysis'!M$9:M$12)</f>
        <v>30000</v>
      </c>
      <c r="N37" s="191">
        <f>SUMIF('Variance Analysis'!$B$9:$B$12,"Production",'Variance Analysis'!N$9:N$12)</f>
        <v>30000</v>
      </c>
    </row>
    <row r="38" spans="1:14" ht="14.25" customHeight="1">
      <c r="A38" s="190" t="s">
        <v>154</v>
      </c>
      <c r="B38" s="190" t="s">
        <v>122</v>
      </c>
      <c r="C38" s="191">
        <f>SUMIF('Variance Analysis'!$B$9:$B$12,"Production Other",'Variance Analysis'!C$9:C$12)</f>
        <v>30000</v>
      </c>
      <c r="D38" s="191">
        <f>SUMIF('Variance Analysis'!$B$9:$B$12,"Production Other",'Variance Analysis'!D$9:D$12)</f>
        <v>30000</v>
      </c>
      <c r="E38" s="191">
        <f>SUMIF('Variance Analysis'!$B$9:$B$12,"Production Other",'Variance Analysis'!E$9:E$12)</f>
        <v>29923.74</v>
      </c>
      <c r="F38" s="191">
        <f>SUMIF('Variance Analysis'!$B$9:$B$12,"Production Other",'Variance Analysis'!F$9:F$12)</f>
        <v>30000</v>
      </c>
      <c r="G38" s="191">
        <f>SUMIF('Variance Analysis'!$B$9:$B$12,"Production Other",'Variance Analysis'!G$9:G$12)</f>
        <v>30000</v>
      </c>
      <c r="H38" s="191">
        <f>SUMIF('Variance Analysis'!$B$9:$B$12,"Production Other",'Variance Analysis'!H$9:H$12)</f>
        <v>30000</v>
      </c>
      <c r="I38" s="191">
        <f>SUMIF('Variance Analysis'!$B$9:$B$12,"Production Other",'Variance Analysis'!I$9:I$12)</f>
        <v>30000</v>
      </c>
      <c r="J38" s="191">
        <f>SUMIF('Variance Analysis'!$B$9:$B$12,"Production Other",'Variance Analysis'!J$9:J$12)</f>
        <v>30000</v>
      </c>
      <c r="K38" s="191">
        <f>SUMIF('Variance Analysis'!$B$9:$B$12,"Production Other",'Variance Analysis'!K$9:K$12)</f>
        <v>30000</v>
      </c>
      <c r="L38" s="191">
        <f>SUMIF('Variance Analysis'!$B$9:$B$12,"Production Other",'Variance Analysis'!L$9:L$12)</f>
        <v>30000</v>
      </c>
      <c r="M38" s="191">
        <f>SUMIF('Variance Analysis'!$B$9:$B$12,"Production Other",'Variance Analysis'!M$9:M$12)</f>
        <v>30000</v>
      </c>
      <c r="N38" s="191">
        <f>SUMIF('Variance Analysis'!$B$9:$B$12,"Production Other",'Variance Analysis'!N$9:N$12)</f>
        <v>30000</v>
      </c>
    </row>
    <row r="39" spans="1:14" ht="14.25" customHeight="1" thickBot="1">
      <c r="A39" s="190" t="s">
        <v>155</v>
      </c>
      <c r="B39" s="190" t="s">
        <v>122</v>
      </c>
      <c r="C39" s="191">
        <f>SUMIF('Variance Analysis'!$B$9:$B$12,"Revenue",'Variance Analysis'!C$9:C$12)</f>
        <v>-8213375.7000000002</v>
      </c>
      <c r="D39" s="191">
        <f>SUMIF('Variance Analysis'!$B$9:$B$12,"Revenue",'Variance Analysis'!D$9:D$12)</f>
        <v>-5968279.7000000002</v>
      </c>
      <c r="E39" s="191">
        <f>SUMIF('Variance Analysis'!$B$9:$B$12,"Revenue",'Variance Analysis'!E$9:E$12)</f>
        <v>-5943759.7000000002</v>
      </c>
      <c r="F39" s="191">
        <f>SUMIF('Variance Analysis'!$B$9:$B$12,"Revenue",'Variance Analysis'!F$9:F$12)</f>
        <v>-4405551.2300000004</v>
      </c>
      <c r="G39" s="191">
        <f>SUMIF('Variance Analysis'!$B$9:$B$12,"Revenue",'Variance Analysis'!G$9:G$12)</f>
        <v>-7250656.2300000004</v>
      </c>
      <c r="H39" s="191">
        <f>SUMIF('Variance Analysis'!$B$9:$B$12,"Revenue",'Variance Analysis'!H$9:H$12)</f>
        <v>-8001217.2300000004</v>
      </c>
      <c r="I39" s="191">
        <f>SUMIF('Variance Analysis'!$B$9:$B$12,"Revenue",'Variance Analysis'!I$9:I$12)</f>
        <v>-10464692.23</v>
      </c>
      <c r="J39" s="191">
        <f>SUMIF('Variance Analysis'!$B$9:$B$12,"Revenue",'Variance Analysis'!J$9:J$12)</f>
        <v>-9728864.2300000004</v>
      </c>
      <c r="K39" s="191">
        <f>SUMIF('Variance Analysis'!$B$9:$B$12,"Revenue",'Variance Analysis'!K$9:K$12)</f>
        <v>-10439474.23</v>
      </c>
      <c r="L39" s="191">
        <f>SUMIF('Variance Analysis'!$B$9:$B$12,"Revenue",'Variance Analysis'!L$9:L$12)</f>
        <v>-8093996.2300000004</v>
      </c>
      <c r="M39" s="191">
        <f>SUMIF('Variance Analysis'!$B$9:$B$12,"Revenue",'Variance Analysis'!M$9:M$12)</f>
        <v>-7467847.2300000004</v>
      </c>
      <c r="N39" s="191">
        <f>SUMIF('Variance Analysis'!$B$9:$B$12,"Revenue",'Variance Analysis'!N$9:N$12)</f>
        <v>-8015833.2300000004</v>
      </c>
    </row>
    <row r="40" spans="1:14" ht="14.25" customHeight="1" thickTop="1" thickBot="1">
      <c r="A40" s="50" t="s">
        <v>156</v>
      </c>
      <c r="B40" s="51" t="s">
        <v>122</v>
      </c>
      <c r="C40" s="53">
        <f>ABS(C39)-SUM(C36:C38)</f>
        <v>5282428.99</v>
      </c>
      <c r="D40" s="53">
        <f t="shared" ref="D40:N40" si="4">ABS(D39)-SUM(D36:D38)</f>
        <v>3014314.84</v>
      </c>
      <c r="E40" s="53">
        <f t="shared" si="4"/>
        <v>937282.71</v>
      </c>
      <c r="F40" s="53">
        <f t="shared" si="4"/>
        <v>695698.95000000019</v>
      </c>
      <c r="G40" s="53">
        <f t="shared" si="4"/>
        <v>3800344.8500000006</v>
      </c>
      <c r="H40" s="53">
        <f t="shared" si="4"/>
        <v>4645081.8800000008</v>
      </c>
      <c r="I40" s="53">
        <f t="shared" si="4"/>
        <v>7033013.290000001</v>
      </c>
      <c r="J40" s="53">
        <f t="shared" si="4"/>
        <v>6182775.0500000007</v>
      </c>
      <c r="K40" s="53">
        <f t="shared" si="4"/>
        <v>6958599.8000000007</v>
      </c>
      <c r="L40" s="53">
        <f t="shared" si="4"/>
        <v>4551309.7100000009</v>
      </c>
      <c r="M40" s="53">
        <f t="shared" si="4"/>
        <v>4048270.16</v>
      </c>
      <c r="N40" s="53">
        <f t="shared" si="4"/>
        <v>4074116.5000000005</v>
      </c>
    </row>
    <row r="41" spans="1:14" ht="14.25" customHeight="1">
      <c r="A41" s="183"/>
      <c r="B41" s="184"/>
      <c r="C41" s="186"/>
      <c r="D41" s="186"/>
      <c r="E41" s="186"/>
      <c r="F41" s="186"/>
      <c r="G41" s="186"/>
      <c r="H41" s="186"/>
      <c r="I41" s="186"/>
      <c r="J41" s="186"/>
      <c r="K41" s="186"/>
      <c r="L41" s="186"/>
      <c r="M41" s="186"/>
      <c r="N41" s="186"/>
    </row>
    <row r="42" spans="1:14" ht="14.25" customHeight="1">
      <c r="A42" s="183"/>
      <c r="B42" s="184"/>
      <c r="C42" s="186"/>
      <c r="D42" s="186"/>
      <c r="E42" s="186"/>
      <c r="F42" s="186"/>
      <c r="G42" s="186"/>
      <c r="H42" s="186"/>
      <c r="I42" s="186"/>
      <c r="J42" s="186"/>
      <c r="K42" s="186"/>
      <c r="L42" s="186"/>
      <c r="M42" s="186"/>
      <c r="N42" s="186"/>
    </row>
    <row r="43" spans="1:14" s="90" customFormat="1" ht="33" customHeight="1">
      <c r="A43" s="140" t="s">
        <v>146</v>
      </c>
      <c r="B43" s="91" t="s">
        <v>121</v>
      </c>
      <c r="C43" s="101" t="s">
        <v>43</v>
      </c>
      <c r="D43" s="101" t="s">
        <v>44</v>
      </c>
      <c r="E43" s="101" t="s">
        <v>45</v>
      </c>
      <c r="F43" s="101" t="s">
        <v>46</v>
      </c>
      <c r="G43" s="101" t="s">
        <v>47</v>
      </c>
      <c r="H43" s="101" t="s">
        <v>48</v>
      </c>
      <c r="I43" s="101" t="s">
        <v>49</v>
      </c>
      <c r="J43" s="101" t="s">
        <v>50</v>
      </c>
      <c r="K43" s="101" t="s">
        <v>51</v>
      </c>
      <c r="L43" s="101" t="s">
        <v>52</v>
      </c>
      <c r="M43" s="101" t="s">
        <v>53</v>
      </c>
      <c r="N43" s="101" t="s">
        <v>54</v>
      </c>
    </row>
    <row r="44" spans="1:14" ht="14.25" customHeight="1">
      <c r="A44" s="190" t="s">
        <v>147</v>
      </c>
      <c r="B44" s="190" t="s">
        <v>122</v>
      </c>
      <c r="C44" s="191">
        <f>SUMIF('Variance Analysis'!$B$13:$B$16,"Overheads",'Variance Analysis'!C$13:C$16)</f>
        <v>10156042.75</v>
      </c>
      <c r="D44" s="191">
        <f>SUMIF('Variance Analysis'!$B$13:$B$16,"Overheads",'Variance Analysis'!D$13:D$16)</f>
        <v>10507931.76</v>
      </c>
      <c r="E44" s="191">
        <f>SUMIF('Variance Analysis'!$B$13:$B$16,"Overheads",'Variance Analysis'!E$13:E$16)</f>
        <v>14876453.26</v>
      </c>
      <c r="F44" s="191">
        <f>SUMIF('Variance Analysis'!$B$13:$B$16,"Overheads",'Variance Analysis'!F$13:F$16)</f>
        <v>17913936.32</v>
      </c>
      <c r="G44" s="191">
        <f>SUMIF('Variance Analysis'!$B$13:$B$16,"Overheads",'Variance Analysis'!G$13:G$16)</f>
        <v>16602328.669999998</v>
      </c>
      <c r="H44" s="191">
        <f>SUMIF('Variance Analysis'!$B$13:$B$16,"Overheads",'Variance Analysis'!H$13:H$16)</f>
        <v>11716587.91</v>
      </c>
      <c r="I44" s="191">
        <f>SUMIF('Variance Analysis'!$B$13:$B$16,"Overheads",'Variance Analysis'!I$13:I$16)</f>
        <v>8737662.6500000004</v>
      </c>
      <c r="J44" s="191">
        <f>SUMIF('Variance Analysis'!$B$13:$B$16,"Overheads",'Variance Analysis'!J$13:J$16)</f>
        <v>8769854.0099999998</v>
      </c>
      <c r="K44" s="191">
        <f>SUMIF('Variance Analysis'!$B$13:$B$16,"Overheads",'Variance Analysis'!K$13:K$16)</f>
        <v>10564946.010000002</v>
      </c>
      <c r="L44" s="191">
        <f>SUMIF('Variance Analysis'!$B$13:$B$16,"Overheads",'Variance Analysis'!L$13:L$16)</f>
        <v>10222269.529999999</v>
      </c>
      <c r="M44" s="191">
        <f>SUMIF('Variance Analysis'!$B$13:$B$16,"Overheads",'Variance Analysis'!M$13:M$16)</f>
        <v>10608268.550000001</v>
      </c>
      <c r="N44" s="191">
        <f>SUMIF('Variance Analysis'!$B$13:$B$16,"Overheads",'Variance Analysis'!N$13:N$16)</f>
        <v>12229507.550000001</v>
      </c>
    </row>
    <row r="45" spans="1:14" ht="14.25" customHeight="1">
      <c r="A45" s="190" t="s">
        <v>65</v>
      </c>
      <c r="B45" s="190" t="s">
        <v>122</v>
      </c>
      <c r="C45" s="191">
        <f>SUMIF('Variance Analysis'!$B$13:$B$16,"Production",'Variance Analysis'!C$13:C$16)</f>
        <v>169981</v>
      </c>
      <c r="D45" s="191">
        <f>SUMIF('Variance Analysis'!$B$13:$B$16,"Production",'Variance Analysis'!D$13:D$16)</f>
        <v>169981</v>
      </c>
      <c r="E45" s="191">
        <f>SUMIF('Variance Analysis'!$B$13:$B$16,"Production",'Variance Analysis'!E$13:E$16)</f>
        <v>169981</v>
      </c>
      <c r="F45" s="191">
        <f>SUMIF('Variance Analysis'!$B$13:$B$16,"Production",'Variance Analysis'!F$13:F$16)</f>
        <v>166888</v>
      </c>
      <c r="G45" s="191">
        <f>SUMIF('Variance Analysis'!$B$13:$B$16,"Production",'Variance Analysis'!G$13:G$16)</f>
        <v>166888</v>
      </c>
      <c r="H45" s="191">
        <f>SUMIF('Variance Analysis'!$B$13:$B$16,"Production",'Variance Analysis'!H$13:H$16)</f>
        <v>392677</v>
      </c>
      <c r="I45" s="191">
        <f>SUMIF('Variance Analysis'!$B$13:$B$16,"Production",'Variance Analysis'!I$13:I$16)</f>
        <v>392677</v>
      </c>
      <c r="J45" s="191">
        <f>SUMIF('Variance Analysis'!$B$13:$B$16,"Production",'Variance Analysis'!J$13:J$16)</f>
        <v>608648</v>
      </c>
      <c r="K45" s="191">
        <f>SUMIF('Variance Analysis'!$B$13:$B$16,"Production",'Variance Analysis'!K$13:K$16)</f>
        <v>608648</v>
      </c>
      <c r="L45" s="191">
        <f>SUMIF('Variance Analysis'!$B$13:$B$16,"Production",'Variance Analysis'!L$13:L$16)</f>
        <v>166888</v>
      </c>
      <c r="M45" s="191">
        <f>SUMIF('Variance Analysis'!$B$13:$B$16,"Production",'Variance Analysis'!M$13:M$16)</f>
        <v>166888</v>
      </c>
      <c r="N45" s="191">
        <f>SUMIF('Variance Analysis'!$B$13:$B$16,"Production",'Variance Analysis'!N$13:N$16)</f>
        <v>166888</v>
      </c>
    </row>
    <row r="46" spans="1:14" ht="14.25" customHeight="1">
      <c r="A46" s="190" t="s">
        <v>28</v>
      </c>
      <c r="B46" s="190" t="s">
        <v>122</v>
      </c>
      <c r="C46" s="191">
        <f>SUMIF('Variance Analysis'!$B$13:$B$16,"Production Other",'Variance Analysis'!C$13:C$16)</f>
        <v>479062.54</v>
      </c>
      <c r="D46" s="191">
        <f>SUMIF('Variance Analysis'!$B$13:$B$16,"Production Other",'Variance Analysis'!D$13:D$16)</f>
        <v>479062.54</v>
      </c>
      <c r="E46" s="191">
        <f>SUMIF('Variance Analysis'!$B$13:$B$16,"Production Other",'Variance Analysis'!E$13:E$16)</f>
        <v>479062.54</v>
      </c>
      <c r="F46" s="191">
        <f>SUMIF('Variance Analysis'!$B$13:$B$16,"Production Other",'Variance Analysis'!F$13:F$16)</f>
        <v>479062.54</v>
      </c>
      <c r="G46" s="191">
        <f>SUMIF('Variance Analysis'!$B$13:$B$16,"Production Other",'Variance Analysis'!G$13:G$16)</f>
        <v>479062.54</v>
      </c>
      <c r="H46" s="191">
        <f>SUMIF('Variance Analysis'!$B$13:$B$16,"Production Other",'Variance Analysis'!H$13:H$16)</f>
        <v>479062.54</v>
      </c>
      <c r="I46" s="191">
        <f>SUMIF('Variance Analysis'!$B$13:$B$16,"Production Other",'Variance Analysis'!I$13:I$16)</f>
        <v>479062.54</v>
      </c>
      <c r="J46" s="191">
        <f>SUMIF('Variance Analysis'!$B$13:$B$16,"Production Other",'Variance Analysis'!J$13:J$16)</f>
        <v>479062.54</v>
      </c>
      <c r="K46" s="191">
        <f>SUMIF('Variance Analysis'!$B$13:$B$16,"Production Other",'Variance Analysis'!K$13:K$16)</f>
        <v>479062.54</v>
      </c>
      <c r="L46" s="191">
        <f>SUMIF('Variance Analysis'!$B$13:$B$16,"Production Other",'Variance Analysis'!L$13:L$16)</f>
        <v>479062.54</v>
      </c>
      <c r="M46" s="191">
        <f>SUMIF('Variance Analysis'!$B$13:$B$16,"Production Other",'Variance Analysis'!M$13:M$16)</f>
        <v>479062.54</v>
      </c>
      <c r="N46" s="191">
        <f>SUMIF('Variance Analysis'!$B$13:$B$16,"Production Other",'Variance Analysis'!N$13:N$16)</f>
        <v>479062.54</v>
      </c>
    </row>
    <row r="47" spans="1:14" ht="14.25" customHeight="1" thickBot="1">
      <c r="A47" s="190" t="s">
        <v>56</v>
      </c>
      <c r="B47" s="190" t="s">
        <v>122</v>
      </c>
      <c r="C47" s="191">
        <f>SUMIF('Variance Analysis'!$B$13:$B$16,"Revenue",'Variance Analysis'!C$13:C$16)</f>
        <v>-16539850.560000001</v>
      </c>
      <c r="D47" s="191">
        <f>SUMIF('Variance Analysis'!$B$13:$B$16,"Revenue",'Variance Analysis'!D$13:D$16)</f>
        <v>-14936115.32</v>
      </c>
      <c r="E47" s="191">
        <f>SUMIF('Variance Analysis'!$B$13:$B$16,"Revenue",'Variance Analysis'!E$13:E$16)</f>
        <v>-14911829.35</v>
      </c>
      <c r="F47" s="191">
        <f>SUMIF('Variance Analysis'!$B$13:$B$16,"Revenue",'Variance Analysis'!F$13:F$16)</f>
        <v>-12812490.02</v>
      </c>
      <c r="G47" s="191">
        <f>SUMIF('Variance Analysis'!$B$13:$B$16,"Revenue",'Variance Analysis'!G$13:G$16)</f>
        <v>-13725254.119999999</v>
      </c>
      <c r="H47" s="191">
        <f>SUMIF('Variance Analysis'!$B$13:$B$16,"Revenue",'Variance Analysis'!H$13:H$16)</f>
        <v>-12969085.51</v>
      </c>
      <c r="I47" s="191">
        <f>SUMIF('Variance Analysis'!$B$13:$B$16,"Revenue",'Variance Analysis'!I$13:I$16)</f>
        <v>-17691646.970000003</v>
      </c>
      <c r="J47" s="191">
        <f>SUMIF('Variance Analysis'!$B$13:$B$16,"Revenue",'Variance Analysis'!J$13:J$16)</f>
        <v>-16929153.190000001</v>
      </c>
      <c r="K47" s="191">
        <f>SUMIF('Variance Analysis'!$B$13:$B$16,"Revenue",'Variance Analysis'!K$13:K$16)</f>
        <v>-15974433.369999999</v>
      </c>
      <c r="L47" s="191">
        <f>SUMIF('Variance Analysis'!$B$13:$B$16,"Revenue",'Variance Analysis'!L$13:L$16)</f>
        <v>-19039986.690000001</v>
      </c>
      <c r="M47" s="191">
        <f>SUMIF('Variance Analysis'!$B$13:$B$16,"Revenue",'Variance Analysis'!M$13:M$16)</f>
        <v>-17082544.41</v>
      </c>
      <c r="N47" s="191">
        <f>SUMIF('Variance Analysis'!$B$13:$B$16,"Revenue",'Variance Analysis'!N$13:N$16)</f>
        <v>-18945397.850000001</v>
      </c>
    </row>
    <row r="48" spans="1:14" ht="14.25" customHeight="1" thickTop="1" thickBot="1">
      <c r="A48" s="50" t="s">
        <v>156</v>
      </c>
      <c r="B48" s="51" t="s">
        <v>122</v>
      </c>
      <c r="C48" s="191">
        <f>ABS(C47)-SUM(C44:C46)</f>
        <v>5734764.2700000014</v>
      </c>
      <c r="D48" s="191">
        <f t="shared" ref="D48:N48" si="5">ABS(D47)-SUM(D44:D46)</f>
        <v>3779140.0200000014</v>
      </c>
      <c r="E48" s="191">
        <f t="shared" si="5"/>
        <v>-613667.44999999925</v>
      </c>
      <c r="F48" s="191">
        <f t="shared" si="5"/>
        <v>-5747396.8399999999</v>
      </c>
      <c r="G48" s="191">
        <f t="shared" si="5"/>
        <v>-3523025.089999998</v>
      </c>
      <c r="H48" s="191">
        <f t="shared" si="5"/>
        <v>380758.06000000052</v>
      </c>
      <c r="I48" s="191">
        <f t="shared" si="5"/>
        <v>8082244.7800000031</v>
      </c>
      <c r="J48" s="191">
        <f t="shared" si="5"/>
        <v>7071588.6400000025</v>
      </c>
      <c r="K48" s="191">
        <f t="shared" si="5"/>
        <v>4321776.8199999984</v>
      </c>
      <c r="L48" s="191">
        <f t="shared" si="5"/>
        <v>8171766.6200000029</v>
      </c>
      <c r="M48" s="191">
        <f t="shared" si="5"/>
        <v>5828325.3200000003</v>
      </c>
      <c r="N48" s="191">
        <f t="shared" si="5"/>
        <v>6069939.7600000016</v>
      </c>
    </row>
    <row r="49" spans="1:14" ht="14.25" customHeight="1">
      <c r="A49" s="183"/>
      <c r="B49" s="184"/>
      <c r="C49" s="186"/>
      <c r="D49" s="186"/>
      <c r="E49" s="186"/>
      <c r="F49" s="186"/>
      <c r="G49" s="186"/>
      <c r="H49" s="186"/>
      <c r="I49" s="186"/>
      <c r="J49" s="186"/>
      <c r="K49" s="186"/>
      <c r="L49" s="186"/>
      <c r="M49" s="186"/>
      <c r="N49" s="186"/>
    </row>
    <row r="50" spans="1:14" ht="14.25" customHeight="1">
      <c r="A50" s="183"/>
      <c r="B50" s="184"/>
      <c r="C50" s="186"/>
      <c r="D50" s="186"/>
      <c r="E50" s="186"/>
      <c r="F50" s="186"/>
      <c r="G50" s="186"/>
      <c r="H50" s="186"/>
      <c r="I50" s="186"/>
      <c r="J50" s="186"/>
      <c r="K50" s="186"/>
      <c r="L50" s="186"/>
      <c r="M50" s="186"/>
      <c r="N50" s="186"/>
    </row>
    <row r="51" spans="1:14" s="90" customFormat="1" ht="33" customHeight="1">
      <c r="A51" s="140" t="s">
        <v>135</v>
      </c>
      <c r="B51" s="91" t="s">
        <v>121</v>
      </c>
      <c r="C51" s="101" t="s">
        <v>43</v>
      </c>
      <c r="D51" s="101" t="s">
        <v>44</v>
      </c>
      <c r="E51" s="101" t="s">
        <v>45</v>
      </c>
      <c r="F51" s="101" t="s">
        <v>46</v>
      </c>
      <c r="G51" s="101" t="s">
        <v>47</v>
      </c>
      <c r="H51" s="101" t="s">
        <v>48</v>
      </c>
      <c r="I51" s="101" t="s">
        <v>49</v>
      </c>
      <c r="J51" s="101" t="s">
        <v>50</v>
      </c>
      <c r="K51" s="101" t="s">
        <v>51</v>
      </c>
      <c r="L51" s="101" t="s">
        <v>52</v>
      </c>
      <c r="M51" s="101" t="s">
        <v>53</v>
      </c>
      <c r="N51" s="101" t="s">
        <v>54</v>
      </c>
    </row>
    <row r="52" spans="1:14" ht="14.25" customHeight="1">
      <c r="A52" s="190" t="s">
        <v>147</v>
      </c>
      <c r="B52" s="190" t="s">
        <v>122</v>
      </c>
      <c r="C52" s="191">
        <f>SUMIF('Variance Analysis'!$B$17:$B$20,"Overheads",'Variance Analysis'!C$17:C$20)</f>
        <v>5306245.1399999997</v>
      </c>
      <c r="D52" s="191">
        <f>SUMIF('Variance Analysis'!$B$17:$B$20,"Overheads",'Variance Analysis'!D$17:D$20)</f>
        <v>4773912.8199999994</v>
      </c>
      <c r="E52" s="191">
        <f>SUMIF('Variance Analysis'!$B$17:$B$20,"Overheads",'Variance Analysis'!E$17:E$20)</f>
        <v>4697833.7299999995</v>
      </c>
      <c r="F52" s="191">
        <f>SUMIF('Variance Analysis'!$B$17:$B$20,"Overheads",'Variance Analysis'!F$17:F$20)</f>
        <v>2982712.6999999997</v>
      </c>
      <c r="G52" s="191">
        <f>SUMIF('Variance Analysis'!$B$17:$B$20,"Overheads",'Variance Analysis'!G$17:G$20)</f>
        <v>6311780.6000000006</v>
      </c>
      <c r="H52" s="191">
        <f>SUMIF('Variance Analysis'!$B$17:$B$20,"Overheads",'Variance Analysis'!H$17:H$20)</f>
        <v>2025499.16</v>
      </c>
      <c r="I52" s="191">
        <f>SUMIF('Variance Analysis'!$B$17:$B$20,"Overheads",'Variance Analysis'!I$17:I$20)</f>
        <v>3457616.66</v>
      </c>
      <c r="J52" s="191">
        <f>SUMIF('Variance Analysis'!$B$17:$B$20,"Overheads",'Variance Analysis'!J$17:J$20)</f>
        <v>2884003.88</v>
      </c>
      <c r="K52" s="191">
        <f>SUMIF('Variance Analysis'!$B$17:$B$20,"Overheads",'Variance Analysis'!K$17:K$20)</f>
        <v>2408511.39</v>
      </c>
      <c r="L52" s="191">
        <f>SUMIF('Variance Analysis'!$B$17:$B$20,"Overheads",'Variance Analysis'!L$17:L$20)</f>
        <v>4555248.4799999995</v>
      </c>
      <c r="M52" s="191">
        <f>SUMIF('Variance Analysis'!$B$17:$B$20,"Overheads",'Variance Analysis'!M$17:M$20)</f>
        <v>4548727.24</v>
      </c>
      <c r="N52" s="191">
        <f>SUMIF('Variance Analysis'!$B$17:$B$20,"Overheads",'Variance Analysis'!N$17:N$20)</f>
        <v>4544356.8599999994</v>
      </c>
    </row>
    <row r="53" spans="1:14" ht="14.25" customHeight="1">
      <c r="A53" s="190" t="s">
        <v>65</v>
      </c>
      <c r="B53" s="190" t="s">
        <v>122</v>
      </c>
      <c r="C53" s="191">
        <f>SUMIF('Variance Analysis'!$B$17:$B$20,"Production",'Variance Analysis'!C$17:C$20)</f>
        <v>150914</v>
      </c>
      <c r="D53" s="191">
        <f>SUMIF('Variance Analysis'!$B$17:$B$20,"Production",'Variance Analysis'!D$17:D$20)</f>
        <v>150914</v>
      </c>
      <c r="E53" s="191">
        <f>SUMIF('Variance Analysis'!$B$17:$B$20,"Production",'Variance Analysis'!E$17:E$20)</f>
        <v>150914</v>
      </c>
      <c r="F53" s="191">
        <f>SUMIF('Variance Analysis'!$B$17:$B$20,"Production",'Variance Analysis'!F$17:F$20)</f>
        <v>145582</v>
      </c>
      <c r="G53" s="191">
        <f>SUMIF('Variance Analysis'!$B$17:$B$20,"Production",'Variance Analysis'!G$17:G$20)</f>
        <v>145582</v>
      </c>
      <c r="H53" s="191">
        <f>SUMIF('Variance Analysis'!$B$17:$B$20,"Production",'Variance Analysis'!H$17:H$20)</f>
        <v>341130</v>
      </c>
      <c r="I53" s="191">
        <f>SUMIF('Variance Analysis'!$B$17:$B$20,"Production",'Variance Analysis'!I$17:I$20)</f>
        <v>341130</v>
      </c>
      <c r="J53" s="191">
        <f>SUMIF('Variance Analysis'!$B$17:$B$20,"Production",'Variance Analysis'!J$17:J$20)</f>
        <v>528180</v>
      </c>
      <c r="K53" s="191">
        <f>SUMIF('Variance Analysis'!$B$17:$B$20,"Production",'Variance Analysis'!K$17:K$20)</f>
        <v>528180</v>
      </c>
      <c r="L53" s="191">
        <f>SUMIF('Variance Analysis'!$B$17:$B$20,"Production",'Variance Analysis'!L$17:L$20)</f>
        <v>145582</v>
      </c>
      <c r="M53" s="191">
        <f>SUMIF('Variance Analysis'!$B$17:$B$20,"Production",'Variance Analysis'!M$17:M$20)</f>
        <v>145582</v>
      </c>
      <c r="N53" s="191">
        <f>SUMIF('Variance Analysis'!$B$17:$B$20,"Production",'Variance Analysis'!N$17:N$20)</f>
        <v>145582</v>
      </c>
    </row>
    <row r="54" spans="1:14" ht="14.25" customHeight="1">
      <c r="A54" s="190" t="s">
        <v>28</v>
      </c>
      <c r="B54" s="190" t="s">
        <v>122</v>
      </c>
      <c r="C54" s="191">
        <f>SUMIF('Variance Analysis'!$B$17:$B$20,"Production Other",'Variance Analysis'!C$17:C$20)</f>
        <v>4850</v>
      </c>
      <c r="D54" s="191">
        <f>SUMIF('Variance Analysis'!$B$17:$B$20,"Production Other",'Variance Analysis'!D$17:D$20)</f>
        <v>9600</v>
      </c>
      <c r="E54" s="191">
        <f>SUMIF('Variance Analysis'!$B$17:$B$20,"Production Other",'Variance Analysis'!E$17:E$20)</f>
        <v>4850</v>
      </c>
      <c r="F54" s="191">
        <f>SUMIF('Variance Analysis'!$B$17:$B$20,"Production Other",'Variance Analysis'!F$17:F$20)</f>
        <v>4850</v>
      </c>
      <c r="G54" s="191">
        <f>SUMIF('Variance Analysis'!$B$17:$B$20,"Production Other",'Variance Analysis'!G$17:G$20)</f>
        <v>4850</v>
      </c>
      <c r="H54" s="191">
        <f>SUMIF('Variance Analysis'!$B$17:$B$20,"Production Other",'Variance Analysis'!H$17:H$20)</f>
        <v>4850</v>
      </c>
      <c r="I54" s="191">
        <f>SUMIF('Variance Analysis'!$B$17:$B$20,"Production Other",'Variance Analysis'!I$17:I$20)</f>
        <v>4850</v>
      </c>
      <c r="J54" s="191">
        <f>SUMIF('Variance Analysis'!$B$17:$B$20,"Production Other",'Variance Analysis'!J$17:J$20)</f>
        <v>9600</v>
      </c>
      <c r="K54" s="191">
        <f>SUMIF('Variance Analysis'!$B$17:$B$20,"Production Other",'Variance Analysis'!K$17:K$20)</f>
        <v>4850</v>
      </c>
      <c r="L54" s="191">
        <f>SUMIF('Variance Analysis'!$B$17:$B$20,"Production Other",'Variance Analysis'!L$17:L$20)</f>
        <v>4850</v>
      </c>
      <c r="M54" s="191">
        <f>SUMIF('Variance Analysis'!$B$17:$B$20,"Production Other",'Variance Analysis'!M$17:M$20)</f>
        <v>4850</v>
      </c>
      <c r="N54" s="191">
        <f>SUMIF('Variance Analysis'!$B$17:$B$20,"Production Other",'Variance Analysis'!N$17:N$20)</f>
        <v>4850</v>
      </c>
    </row>
    <row r="55" spans="1:14" ht="14.25" customHeight="1" thickBot="1">
      <c r="A55" s="190" t="s">
        <v>56</v>
      </c>
      <c r="B55" s="190" t="s">
        <v>122</v>
      </c>
      <c r="C55" s="191">
        <f>SUMIF('Variance Analysis'!$B$17:$B$20,"Revenue",'Variance Analysis'!C$17:C$20)</f>
        <v>-17486457.32</v>
      </c>
      <c r="D55" s="191">
        <f>SUMIF('Variance Analysis'!$B$17:$B$20,"Revenue",'Variance Analysis'!D$17:D$20)</f>
        <v>-17080683.32</v>
      </c>
      <c r="E55" s="191">
        <f>SUMIF('Variance Analysis'!$B$17:$B$20,"Revenue",'Variance Analysis'!E$17:E$20)</f>
        <v>-18779074.32</v>
      </c>
      <c r="F55" s="191">
        <f>SUMIF('Variance Analysis'!$B$17:$B$20,"Revenue",'Variance Analysis'!F$17:F$20)</f>
        <v>-16393725.940000001</v>
      </c>
      <c r="G55" s="191">
        <f>SUMIF('Variance Analysis'!$B$17:$B$20,"Revenue",'Variance Analysis'!G$17:G$20)</f>
        <v>-18198123.939999998</v>
      </c>
      <c r="H55" s="191">
        <f>SUMIF('Variance Analysis'!$B$17:$B$20,"Revenue",'Variance Analysis'!H$17:H$20)</f>
        <v>-18745041.939999998</v>
      </c>
      <c r="I55" s="191">
        <f>SUMIF('Variance Analysis'!$B$17:$B$20,"Revenue",'Variance Analysis'!I$17:I$20)</f>
        <v>-20438972.939999998</v>
      </c>
      <c r="J55" s="191">
        <f>SUMIF('Variance Analysis'!$B$17:$B$20,"Revenue",'Variance Analysis'!J$17:J$20)</f>
        <v>-19896925.939999998</v>
      </c>
      <c r="K55" s="191">
        <f>SUMIF('Variance Analysis'!$B$17:$B$20,"Revenue",'Variance Analysis'!K$17:K$20)</f>
        <v>-20741539.48</v>
      </c>
      <c r="L55" s="191">
        <f>SUMIF('Variance Analysis'!$B$17:$B$20,"Revenue",'Variance Analysis'!L$17:L$20)</f>
        <v>-17125160.940000001</v>
      </c>
      <c r="M55" s="191">
        <f>SUMIF('Variance Analysis'!$B$17:$B$20,"Revenue",'Variance Analysis'!M$17:M$20)</f>
        <v>-18572607.939999998</v>
      </c>
      <c r="N55" s="191">
        <f>SUMIF('Variance Analysis'!$B$17:$B$20,"Revenue",'Variance Analysis'!N$17:N$20)</f>
        <v>-19240921.939999998</v>
      </c>
    </row>
    <row r="56" spans="1:14" ht="14.25" customHeight="1" thickTop="1" thickBot="1">
      <c r="A56" s="50" t="s">
        <v>156</v>
      </c>
      <c r="B56" s="51" t="s">
        <v>122</v>
      </c>
      <c r="C56" s="53">
        <f>ABS(C55)-SUM(C52:C54)</f>
        <v>12024448.18</v>
      </c>
      <c r="D56" s="53">
        <f t="shared" ref="D56:N56" si="6">ABS(D55)-SUM(D52:D54)</f>
        <v>12146256.5</v>
      </c>
      <c r="E56" s="53">
        <f t="shared" si="6"/>
        <v>13925476.59</v>
      </c>
      <c r="F56" s="53">
        <f t="shared" si="6"/>
        <v>13260581.240000002</v>
      </c>
      <c r="G56" s="53">
        <f t="shared" si="6"/>
        <v>11735911.339999996</v>
      </c>
      <c r="H56" s="53">
        <f t="shared" si="6"/>
        <v>16373562.779999997</v>
      </c>
      <c r="I56" s="53">
        <f t="shared" si="6"/>
        <v>16635376.279999997</v>
      </c>
      <c r="J56" s="53">
        <f t="shared" si="6"/>
        <v>16475142.059999999</v>
      </c>
      <c r="K56" s="53">
        <f t="shared" si="6"/>
        <v>17799998.09</v>
      </c>
      <c r="L56" s="53">
        <f t="shared" si="6"/>
        <v>12419480.460000001</v>
      </c>
      <c r="M56" s="53">
        <f t="shared" si="6"/>
        <v>13873448.699999997</v>
      </c>
      <c r="N56" s="53">
        <f t="shared" si="6"/>
        <v>14546133.079999998</v>
      </c>
    </row>
    <row r="57" spans="1:14" ht="14.25" customHeight="1">
      <c r="A57" s="183"/>
      <c r="B57" s="184"/>
      <c r="C57" s="186"/>
      <c r="D57" s="186"/>
      <c r="E57" s="186"/>
      <c r="F57" s="186"/>
      <c r="G57" s="186"/>
      <c r="H57" s="186"/>
      <c r="I57" s="186"/>
      <c r="J57" s="186"/>
      <c r="K57" s="186"/>
      <c r="L57" s="186"/>
      <c r="M57" s="186"/>
      <c r="N57" s="186"/>
    </row>
    <row r="58" spans="1:14" s="90" customFormat="1" ht="33" customHeight="1">
      <c r="A58" s="140" t="s">
        <v>150</v>
      </c>
      <c r="B58" s="91" t="s">
        <v>121</v>
      </c>
      <c r="C58" s="101" t="s">
        <v>43</v>
      </c>
      <c r="D58" s="101" t="s">
        <v>44</v>
      </c>
      <c r="E58" s="101" t="s">
        <v>45</v>
      </c>
      <c r="F58" s="101" t="s">
        <v>46</v>
      </c>
      <c r="G58" s="101" t="s">
        <v>47</v>
      </c>
      <c r="H58" s="101" t="s">
        <v>48</v>
      </c>
      <c r="I58" s="101" t="s">
        <v>49</v>
      </c>
      <c r="J58" s="101" t="s">
        <v>50</v>
      </c>
      <c r="K58" s="101" t="s">
        <v>51</v>
      </c>
      <c r="L58" s="101" t="s">
        <v>52</v>
      </c>
      <c r="M58" s="101" t="s">
        <v>53</v>
      </c>
      <c r="N58" s="101" t="s">
        <v>54</v>
      </c>
    </row>
    <row r="59" spans="1:14" ht="14.25" customHeight="1">
      <c r="A59" s="190" t="s">
        <v>147</v>
      </c>
      <c r="B59" s="190" t="s">
        <v>122</v>
      </c>
      <c r="C59" s="191">
        <f>SUMIF('Variance Analysis'!$B$21:$B$24,"Overheads",'Variance Analysis'!C$21:C$24)</f>
        <v>18333234.599999998</v>
      </c>
      <c r="D59" s="191">
        <f>SUMIF('Variance Analysis'!$B$21:$B$24,"Overheads",'Variance Analysis'!D$21:D$24)</f>
        <v>18175809.440000001</v>
      </c>
      <c r="E59" s="191">
        <f>SUMIF('Variance Analysis'!$B$21:$B$24,"Overheads",'Variance Analysis'!E$21:E$24)</f>
        <v>24520840.240000002</v>
      </c>
      <c r="F59" s="191">
        <f>SUMIF('Variance Analysis'!$B$21:$B$24,"Overheads",'Variance Analysis'!F$21:F$24)</f>
        <v>24546501.299999997</v>
      </c>
      <c r="G59" s="191">
        <f>SUMIF('Variance Analysis'!$B$21:$B$24,"Overheads",'Variance Analysis'!G$21:G$24)</f>
        <v>26304420.650000002</v>
      </c>
      <c r="H59" s="191">
        <f>SUMIF('Variance Analysis'!$B$21:$B$24,"Overheads",'Variance Analysis'!H$21:H$24)</f>
        <v>17038222.419999998</v>
      </c>
      <c r="I59" s="191">
        <f>SUMIF('Variance Analysis'!$B$21:$B$24,"Overheads",'Variance Analysis'!I$21:I$24)</f>
        <v>15566958.25</v>
      </c>
      <c r="J59" s="191">
        <f>SUMIF('Variance Analysis'!$B$21:$B$24,"Overheads",'Variance Analysis'!J$21:J$24)</f>
        <v>15139947.07</v>
      </c>
      <c r="K59" s="191">
        <f>SUMIF('Variance Analysis'!$B$21:$B$24,"Overheads",'Variance Analysis'!K$21:K$24)</f>
        <v>16394331.83</v>
      </c>
      <c r="L59" s="191">
        <f>SUMIF('Variance Analysis'!$B$21:$B$24,"Overheads",'Variance Analysis'!L$21:L$24)</f>
        <v>18260204.530000001</v>
      </c>
      <c r="M59" s="191">
        <f>SUMIF('Variance Analysis'!$B$21:$B$24,"Overheads",'Variance Analysis'!M$21:M$24)</f>
        <v>18516572.860000003</v>
      </c>
      <c r="N59" s="191">
        <f>SUMIF('Variance Analysis'!$B$21:$B$24,"Overheads",'Variance Analysis'!N$21:N$24)</f>
        <v>20655581.139999997</v>
      </c>
    </row>
    <row r="60" spans="1:14" ht="14.25" customHeight="1">
      <c r="A60" s="190" t="s">
        <v>65</v>
      </c>
      <c r="B60" s="190" t="s">
        <v>122</v>
      </c>
      <c r="C60" s="191">
        <f>SUMIF('Variance Analysis'!$B$21:$B$24,"Production",'Variance Analysis'!C$21:C$24)</f>
        <v>350895</v>
      </c>
      <c r="D60" s="191">
        <f>SUMIF('Variance Analysis'!$B$21:$B$24,"Production",'Variance Analysis'!D$21:D$24)</f>
        <v>350895</v>
      </c>
      <c r="E60" s="191">
        <f>SUMIF('Variance Analysis'!$B$21:$B$24,"Production",'Variance Analysis'!E$21:E$24)</f>
        <v>350895</v>
      </c>
      <c r="F60" s="191">
        <f>SUMIF('Variance Analysis'!$B$21:$B$24,"Production",'Variance Analysis'!F$21:F$24)</f>
        <v>342470</v>
      </c>
      <c r="G60" s="191">
        <f>SUMIF('Variance Analysis'!$B$21:$B$24,"Production",'Variance Analysis'!G$21:G$24)</f>
        <v>342470</v>
      </c>
      <c r="H60" s="191">
        <f>SUMIF('Variance Analysis'!$B$21:$B$24,"Production",'Variance Analysis'!H$21:H$24)</f>
        <v>763807</v>
      </c>
      <c r="I60" s="191">
        <f>SUMIF('Variance Analysis'!$B$21:$B$24,"Production",'Variance Analysis'!I$21:I$24)</f>
        <v>763807</v>
      </c>
      <c r="J60" s="191">
        <f>SUMIF('Variance Analysis'!$B$21:$B$24,"Production",'Variance Analysis'!J$21:J$24)</f>
        <v>1166828</v>
      </c>
      <c r="K60" s="191">
        <f>SUMIF('Variance Analysis'!$B$21:$B$24,"Production",'Variance Analysis'!K$21:K$24)</f>
        <v>1166828</v>
      </c>
      <c r="L60" s="191">
        <f>SUMIF('Variance Analysis'!$B$21:$B$24,"Production",'Variance Analysis'!L$21:L$24)</f>
        <v>342470</v>
      </c>
      <c r="M60" s="191">
        <f>SUMIF('Variance Analysis'!$B$21:$B$24,"Production",'Variance Analysis'!M$21:M$24)</f>
        <v>342470</v>
      </c>
      <c r="N60" s="191">
        <f>SUMIF('Variance Analysis'!$B$21:$B$24,"Production",'Variance Analysis'!N$21:N$24)</f>
        <v>342470</v>
      </c>
    </row>
    <row r="61" spans="1:14" ht="14.25" customHeight="1">
      <c r="A61" s="190" t="s">
        <v>28</v>
      </c>
      <c r="B61" s="190" t="s">
        <v>122</v>
      </c>
      <c r="C61" s="191">
        <f>SUMIF('Variance Analysis'!$B$21:$B$24,"Production Other",'Variance Analysis'!C$21:C$24)</f>
        <v>513912.54</v>
      </c>
      <c r="D61" s="191">
        <f>SUMIF('Variance Analysis'!$B$21:$B$24,"Production Other",'Variance Analysis'!D$21:D$24)</f>
        <v>518662.54</v>
      </c>
      <c r="E61" s="191">
        <f>SUMIF('Variance Analysis'!$B$21:$B$24,"Production Other",'Variance Analysis'!E$21:E$24)</f>
        <v>513836.27999999997</v>
      </c>
      <c r="F61" s="191">
        <f>SUMIF('Variance Analysis'!$B$21:$B$24,"Production Other",'Variance Analysis'!F$21:F$24)</f>
        <v>513912.54</v>
      </c>
      <c r="G61" s="191">
        <f>SUMIF('Variance Analysis'!$B$21:$B$24,"Production Other",'Variance Analysis'!G$21:G$24)</f>
        <v>513912.54</v>
      </c>
      <c r="H61" s="191">
        <f>SUMIF('Variance Analysis'!$B$21:$B$24,"Production Other",'Variance Analysis'!H$21:H$24)</f>
        <v>513912.54</v>
      </c>
      <c r="I61" s="191">
        <f>SUMIF('Variance Analysis'!$B$21:$B$24,"Production Other",'Variance Analysis'!I$21:I$24)</f>
        <v>513912.54</v>
      </c>
      <c r="J61" s="191">
        <f>SUMIF('Variance Analysis'!$B$21:$B$24,"Production Other",'Variance Analysis'!J$21:J$24)</f>
        <v>518662.54</v>
      </c>
      <c r="K61" s="191">
        <f>SUMIF('Variance Analysis'!$B$21:$B$24,"Production Other",'Variance Analysis'!K$21:K$24)</f>
        <v>513912.54</v>
      </c>
      <c r="L61" s="191">
        <f>SUMIF('Variance Analysis'!$B$21:$B$24,"Production Other",'Variance Analysis'!L$21:L$24)</f>
        <v>513912.54</v>
      </c>
      <c r="M61" s="191">
        <f>SUMIF('Variance Analysis'!$B$21:$B$24,"Production Other",'Variance Analysis'!M$21:M$24)</f>
        <v>513912.54</v>
      </c>
      <c r="N61" s="191">
        <f>SUMIF('Variance Analysis'!$B$21:$B$24,"Production Other",'Variance Analysis'!N$21:N$24)</f>
        <v>513912.54</v>
      </c>
    </row>
    <row r="62" spans="1:14" ht="14.25" customHeight="1" thickBot="1">
      <c r="A62" s="190" t="s">
        <v>56</v>
      </c>
      <c r="B62" s="190" t="s">
        <v>122</v>
      </c>
      <c r="C62" s="191">
        <f>SUMIF('Variance Analysis'!$B$21:$B$24,"Revenue",'Variance Analysis'!C$21:C$24)</f>
        <v>-42239683.579999998</v>
      </c>
      <c r="D62" s="191">
        <f>SUMIF('Variance Analysis'!$B$21:$B$24,"Revenue",'Variance Analysis'!D$21:D$24)</f>
        <v>-37985078.340000004</v>
      </c>
      <c r="E62" s="191">
        <f>SUMIF('Variance Analysis'!$B$21:$B$24,"Revenue",'Variance Analysis'!E$21:E$24)</f>
        <v>-39634663.370000005</v>
      </c>
      <c r="F62" s="191">
        <f>SUMIF('Variance Analysis'!$B$21:$B$24,"Revenue",'Variance Analysis'!F$21:F$24)</f>
        <v>-33611767.189999998</v>
      </c>
      <c r="G62" s="191">
        <f>SUMIF('Variance Analysis'!$B$21:$B$24,"Revenue",'Variance Analysis'!G$21:G$24)</f>
        <v>-39174034.289999999</v>
      </c>
      <c r="H62" s="191">
        <f>SUMIF('Variance Analysis'!$B$21:$B$24,"Revenue",'Variance Analysis'!H$21:H$24)</f>
        <v>-39715344.68</v>
      </c>
      <c r="I62" s="191">
        <f>SUMIF('Variance Analysis'!$B$21:$B$24,"Revenue",'Variance Analysis'!I$21:I$24)</f>
        <v>-48595312.140000001</v>
      </c>
      <c r="J62" s="191">
        <f>SUMIF('Variance Analysis'!$B$21:$B$24,"Revenue",'Variance Analysis'!J$21:J$24)</f>
        <v>-46554943.359999999</v>
      </c>
      <c r="K62" s="191">
        <f>SUMIF('Variance Analysis'!$B$21:$B$24,"Revenue",'Variance Analysis'!K$21:K$24)</f>
        <v>-47155447.079999998</v>
      </c>
      <c r="L62" s="191">
        <f>SUMIF('Variance Analysis'!$B$21:$B$24,"Revenue",'Variance Analysis'!L$21:L$24)</f>
        <v>-44259143.859999999</v>
      </c>
      <c r="M62" s="191">
        <f>SUMIF('Variance Analysis'!$B$21:$B$24,"Revenue",'Variance Analysis'!M$21:M$24)</f>
        <v>-43122999.579999998</v>
      </c>
      <c r="N62" s="191">
        <f>SUMIF('Variance Analysis'!$B$21:$B$24,"Revenue",'Variance Analysis'!N$21:N$24)</f>
        <v>-46202153.019999996</v>
      </c>
    </row>
    <row r="63" spans="1:14" ht="14.25" customHeight="1" thickTop="1" thickBot="1">
      <c r="A63" s="50" t="s">
        <v>156</v>
      </c>
      <c r="B63" s="51" t="s">
        <v>122</v>
      </c>
      <c r="C63" s="53">
        <f>ABS(C62)-SUM(C59:C61)</f>
        <v>23041641.440000001</v>
      </c>
      <c r="D63" s="53">
        <f t="shared" ref="D63:N63" si="7">ABS(D62)-SUM(D59:D61)</f>
        <v>18939711.360000003</v>
      </c>
      <c r="E63" s="53">
        <f t="shared" si="7"/>
        <v>14249091.850000001</v>
      </c>
      <c r="F63" s="53">
        <f t="shared" si="7"/>
        <v>8208883.3500000015</v>
      </c>
      <c r="G63" s="53">
        <f t="shared" si="7"/>
        <v>12013231.099999998</v>
      </c>
      <c r="H63" s="53">
        <f t="shared" si="7"/>
        <v>21399402.720000003</v>
      </c>
      <c r="I63" s="53">
        <f t="shared" si="7"/>
        <v>31750634.350000001</v>
      </c>
      <c r="J63" s="53">
        <f t="shared" si="7"/>
        <v>29729505.75</v>
      </c>
      <c r="K63" s="53">
        <f t="shared" si="7"/>
        <v>29080374.710000001</v>
      </c>
      <c r="L63" s="53">
        <f t="shared" si="7"/>
        <v>25142556.789999999</v>
      </c>
      <c r="M63" s="53">
        <f t="shared" si="7"/>
        <v>23750044.179999996</v>
      </c>
      <c r="N63" s="53">
        <f t="shared" si="7"/>
        <v>24690189.34</v>
      </c>
    </row>
    <row r="64" spans="1:14" ht="14.25" customHeight="1">
      <c r="A64" s="183"/>
      <c r="B64" s="184"/>
      <c r="C64" s="186"/>
      <c r="D64" s="186"/>
      <c r="E64" s="186"/>
      <c r="F64" s="186"/>
      <c r="G64" s="186"/>
      <c r="H64" s="186"/>
      <c r="I64" s="186"/>
      <c r="J64" s="186"/>
      <c r="K64" s="186"/>
      <c r="L64" s="186"/>
      <c r="M64" s="186"/>
      <c r="N64" s="186"/>
    </row>
    <row r="65" spans="1:14" s="143" customFormat="1" ht="39.950000000000003" customHeight="1">
      <c r="A65" s="199" t="s">
        <v>157</v>
      </c>
      <c r="B65" s="200"/>
      <c r="C65" s="201"/>
      <c r="D65" s="201"/>
      <c r="E65" s="201"/>
      <c r="F65" s="201"/>
      <c r="G65" s="201"/>
      <c r="H65" s="201"/>
      <c r="I65" s="201"/>
      <c r="J65" s="201"/>
      <c r="K65" s="201"/>
      <c r="L65" s="201"/>
      <c r="M65" s="201"/>
      <c r="N65" s="201"/>
    </row>
    <row r="66" spans="1:14" ht="14.25" customHeight="1">
      <c r="A66" s="183"/>
      <c r="B66" s="184"/>
      <c r="C66" s="186"/>
      <c r="D66" s="186"/>
      <c r="E66" s="186"/>
      <c r="F66" s="186"/>
      <c r="G66" s="186"/>
      <c r="H66" s="186"/>
      <c r="I66" s="186"/>
      <c r="J66" s="186"/>
      <c r="K66" s="186"/>
      <c r="L66" s="186"/>
      <c r="M66" s="186"/>
      <c r="N66" s="186"/>
    </row>
    <row r="67" spans="1:14" ht="14.25" customHeight="1">
      <c r="A67" s="183"/>
      <c r="B67" s="184"/>
      <c r="C67" s="186"/>
      <c r="D67" s="186"/>
      <c r="E67" s="186"/>
      <c r="F67" s="186"/>
      <c r="G67" s="186"/>
      <c r="H67" s="186"/>
      <c r="I67" s="186"/>
      <c r="J67" s="186"/>
      <c r="K67" s="186"/>
      <c r="L67" s="186"/>
      <c r="M67" s="186"/>
      <c r="N67" s="186"/>
    </row>
    <row r="68" spans="1:14" ht="14.25" customHeight="1">
      <c r="A68" s="183"/>
      <c r="B68" s="184"/>
      <c r="C68" s="186"/>
      <c r="D68" s="186"/>
      <c r="E68" s="186"/>
      <c r="F68" s="186"/>
      <c r="G68" s="186"/>
      <c r="H68" s="186"/>
      <c r="I68" s="186"/>
      <c r="J68" s="186"/>
      <c r="K68" s="186"/>
      <c r="L68" s="186"/>
      <c r="M68" s="186"/>
      <c r="N68" s="186"/>
    </row>
    <row r="69" spans="1:14" ht="14.25" customHeight="1">
      <c r="A69" s="183"/>
      <c r="B69" s="184"/>
      <c r="C69" s="186"/>
      <c r="D69" s="186"/>
      <c r="E69" s="186"/>
      <c r="F69" s="186"/>
      <c r="G69" s="186"/>
      <c r="H69" s="186"/>
      <c r="I69" s="186"/>
      <c r="J69" s="186"/>
      <c r="K69" s="186"/>
      <c r="L69" s="186"/>
      <c r="M69" s="186"/>
      <c r="N69" s="186"/>
    </row>
    <row r="70" spans="1:14" ht="14.25" customHeight="1">
      <c r="A70" s="257"/>
      <c r="B70" s="257"/>
      <c r="C70" s="257"/>
      <c r="D70" s="257"/>
      <c r="E70" s="257"/>
      <c r="F70" s="257"/>
      <c r="G70" s="257"/>
      <c r="H70" s="257"/>
      <c r="I70" s="257"/>
      <c r="J70" s="257"/>
      <c r="K70" s="257"/>
      <c r="L70" s="257"/>
      <c r="M70" s="257"/>
      <c r="N70" s="257"/>
    </row>
    <row r="71" spans="1:14" ht="14.25" customHeight="1">
      <c r="A71" s="257"/>
      <c r="B71" s="257"/>
      <c r="C71" s="257"/>
      <c r="D71" s="257"/>
      <c r="E71" s="257"/>
      <c r="F71" s="257"/>
      <c r="G71" s="257"/>
      <c r="H71" s="257"/>
      <c r="I71" s="257"/>
      <c r="J71" s="257"/>
      <c r="K71" s="257"/>
      <c r="L71" s="257"/>
      <c r="M71" s="257"/>
      <c r="N71" s="257"/>
    </row>
    <row r="72" spans="1:14" ht="14.25" customHeight="1">
      <c r="A72" s="257"/>
      <c r="B72" s="257"/>
      <c r="C72" s="257"/>
      <c r="D72" s="257"/>
      <c r="E72" s="257"/>
      <c r="F72" s="257"/>
      <c r="G72" s="257"/>
      <c r="H72" s="257"/>
      <c r="I72" s="257"/>
      <c r="J72" s="257"/>
      <c r="K72" s="257"/>
      <c r="L72" s="257"/>
      <c r="M72" s="257"/>
      <c r="N72" s="257"/>
    </row>
    <row r="73" spans="1:14" ht="14.25" customHeight="1">
      <c r="A73" s="257"/>
      <c r="B73" s="257"/>
      <c r="C73" s="257"/>
      <c r="D73" s="257"/>
      <c r="E73" s="257"/>
      <c r="F73" s="257"/>
      <c r="G73" s="257"/>
      <c r="H73" s="257"/>
      <c r="I73" s="257"/>
      <c r="J73" s="257"/>
      <c r="K73" s="257"/>
      <c r="L73" s="257"/>
      <c r="M73" s="257"/>
      <c r="N73" s="257"/>
    </row>
    <row r="74" spans="1:14" ht="14.25" customHeight="1">
      <c r="A74" s="257"/>
      <c r="B74" s="257"/>
      <c r="C74" s="257"/>
      <c r="D74" s="257"/>
      <c r="E74" s="257"/>
      <c r="F74" s="257"/>
      <c r="G74" s="257"/>
      <c r="H74" s="257"/>
      <c r="I74" s="257"/>
      <c r="J74" s="257"/>
      <c r="K74" s="257"/>
      <c r="L74" s="257"/>
      <c r="M74" s="257"/>
      <c r="N74" s="257"/>
    </row>
    <row r="75" spans="1:14" ht="14.25" customHeight="1">
      <c r="A75" s="257"/>
      <c r="B75" s="257"/>
      <c r="C75" s="257"/>
      <c r="D75" s="257"/>
      <c r="E75" s="257"/>
      <c r="F75" s="257"/>
      <c r="G75" s="257"/>
      <c r="H75" s="257"/>
      <c r="I75" s="257"/>
      <c r="J75" s="257"/>
      <c r="K75" s="257"/>
      <c r="L75" s="257"/>
      <c r="M75" s="257"/>
      <c r="N75" s="257"/>
    </row>
    <row r="76" spans="1:14" ht="14.25" customHeight="1">
      <c r="A76" s="257"/>
      <c r="B76" s="257"/>
      <c r="C76" s="257"/>
      <c r="D76" s="257"/>
      <c r="E76" s="257"/>
      <c r="F76" s="257"/>
      <c r="G76" s="257"/>
      <c r="H76" s="257"/>
      <c r="I76" s="257"/>
      <c r="J76" s="257"/>
      <c r="K76" s="257"/>
      <c r="L76" s="257"/>
      <c r="M76" s="257"/>
      <c r="N76" s="257"/>
    </row>
    <row r="77" spans="1:14" ht="14.25" customHeight="1">
      <c r="A77" s="257"/>
      <c r="B77" s="257"/>
      <c r="C77" s="257"/>
      <c r="D77" s="257"/>
      <c r="E77" s="257"/>
      <c r="F77" s="257"/>
      <c r="G77" s="257"/>
      <c r="H77" s="257"/>
      <c r="I77" s="257"/>
      <c r="J77" s="257"/>
      <c r="K77" s="257"/>
      <c r="L77" s="257"/>
      <c r="M77" s="257"/>
      <c r="N77" s="257"/>
    </row>
    <row r="78" spans="1:14" ht="14.25" customHeight="1">
      <c r="A78" s="257"/>
      <c r="B78" s="257"/>
      <c r="C78" s="257"/>
      <c r="D78" s="257"/>
      <c r="E78" s="257"/>
      <c r="F78" s="257"/>
      <c r="G78" s="257"/>
      <c r="H78" s="257"/>
      <c r="I78" s="257"/>
      <c r="J78" s="257"/>
      <c r="K78" s="257"/>
      <c r="L78" s="257"/>
      <c r="M78" s="257"/>
      <c r="N78" s="257"/>
    </row>
    <row r="79" spans="1:14" ht="14.25" customHeight="1">
      <c r="A79" s="257"/>
      <c r="B79" s="257"/>
      <c r="C79" s="257"/>
      <c r="D79" s="257"/>
      <c r="E79" s="257"/>
      <c r="F79" s="257"/>
      <c r="G79" s="257"/>
      <c r="H79" s="257"/>
      <c r="I79" s="257"/>
      <c r="J79" s="257"/>
      <c r="K79" s="257"/>
      <c r="L79" s="257"/>
      <c r="M79" s="257"/>
      <c r="N79" s="257"/>
    </row>
    <row r="80" spans="1:14" ht="14.25" customHeight="1">
      <c r="A80" s="257"/>
      <c r="B80" s="257"/>
      <c r="C80" s="257"/>
      <c r="D80" s="257"/>
      <c r="E80" s="257"/>
      <c r="F80" s="257"/>
      <c r="G80" s="257"/>
      <c r="H80" s="257"/>
      <c r="I80" s="257"/>
      <c r="J80" s="257"/>
      <c r="K80" s="257"/>
      <c r="L80" s="257"/>
      <c r="M80" s="257"/>
      <c r="N80" s="257"/>
    </row>
    <row r="81" ht="14.25" customHeight="1"/>
    <row r="82" ht="14.25" customHeight="1"/>
    <row r="83" ht="14.25" customHeight="1"/>
    <row r="84" ht="14.25" customHeight="1"/>
    <row r="85" s="254" customFormat="1" ht="14.25" customHeight="1"/>
    <row r="86" s="254" customFormat="1" ht="14.25" customHeight="1"/>
    <row r="87" s="254" customFormat="1" ht="14.25" customHeight="1"/>
    <row r="88" s="254" customFormat="1" ht="14.25" customHeight="1"/>
    <row r="89" s="254" customFormat="1" ht="14.25" customHeight="1"/>
    <row r="90" s="254" customFormat="1" ht="14.25" customHeight="1"/>
    <row r="91" s="254" customFormat="1" ht="14.25" customHeight="1"/>
    <row r="92" s="254" customFormat="1" ht="14.25" customHeight="1"/>
    <row r="93" s="254" customFormat="1" ht="14.25" customHeight="1"/>
    <row r="94" s="254" customFormat="1" ht="14.25" customHeight="1"/>
    <row r="95" s="254" customFormat="1" ht="14.25" customHeight="1"/>
    <row r="96" s="254" customFormat="1" ht="14.25" customHeight="1"/>
    <row r="97" spans="1:14" s="254" customFormat="1" ht="14.25" customHeight="1">
      <c r="A97" s="257"/>
      <c r="B97" s="257"/>
      <c r="C97" s="257"/>
      <c r="D97" s="257"/>
      <c r="E97" s="257"/>
      <c r="F97" s="257"/>
      <c r="G97" s="257"/>
      <c r="H97" s="257"/>
      <c r="I97" s="257"/>
      <c r="J97" s="257"/>
      <c r="K97" s="257"/>
      <c r="L97" s="257"/>
      <c r="M97" s="257"/>
      <c r="N97" s="257"/>
    </row>
    <row r="98" spans="1:14" s="254" customFormat="1" ht="14.25" customHeight="1">
      <c r="A98" s="257"/>
      <c r="B98" s="257"/>
      <c r="C98" s="257"/>
      <c r="D98" s="257"/>
      <c r="E98" s="257"/>
      <c r="F98" s="257"/>
      <c r="G98" s="257"/>
      <c r="H98" s="257"/>
      <c r="I98" s="257"/>
      <c r="J98" s="257"/>
      <c r="K98" s="257"/>
      <c r="L98" s="257"/>
      <c r="M98" s="257"/>
      <c r="N98" s="257"/>
    </row>
    <row r="99" spans="1:14" s="254" customFormat="1" ht="14.25" customHeight="1">
      <c r="A99" s="257"/>
      <c r="B99" s="257"/>
      <c r="C99" s="257"/>
      <c r="D99" s="257"/>
      <c r="E99" s="257"/>
      <c r="F99" s="257"/>
      <c r="G99" s="257"/>
      <c r="H99" s="257"/>
      <c r="I99" s="257"/>
      <c r="J99" s="257"/>
      <c r="K99" s="257"/>
      <c r="L99" s="257"/>
      <c r="M99" s="257"/>
      <c r="N99" s="257"/>
    </row>
    <row r="100" spans="1:14" s="254" customFormat="1" ht="14.25" customHeight="1">
      <c r="A100" s="257"/>
      <c r="B100" s="257"/>
      <c r="C100" s="257"/>
      <c r="D100" s="257"/>
      <c r="E100" s="257"/>
      <c r="F100" s="257"/>
      <c r="G100" s="257"/>
      <c r="H100" s="257"/>
      <c r="I100" s="257"/>
      <c r="J100" s="257"/>
      <c r="K100" s="257"/>
      <c r="L100" s="257"/>
      <c r="M100" s="257"/>
      <c r="N100" s="257"/>
    </row>
    <row r="101" spans="1:14" s="254" customFormat="1" ht="14.25" customHeight="1">
      <c r="A101" s="257"/>
      <c r="B101" s="257"/>
      <c r="C101" s="257"/>
      <c r="D101" s="257"/>
      <c r="E101" s="257"/>
      <c r="F101" s="257"/>
      <c r="G101" s="257"/>
      <c r="H101" s="257"/>
      <c r="I101" s="257"/>
      <c r="J101" s="257"/>
      <c r="K101" s="257"/>
      <c r="L101" s="257"/>
      <c r="M101" s="257"/>
      <c r="N101" s="257"/>
    </row>
    <row r="102" spans="1:14" s="254" customFormat="1" ht="14.25" customHeight="1">
      <c r="A102" s="257"/>
      <c r="B102" s="257"/>
      <c r="C102" s="257"/>
      <c r="D102" s="257"/>
      <c r="E102" s="257"/>
      <c r="F102" s="257"/>
      <c r="G102" s="257"/>
      <c r="H102" s="257"/>
      <c r="I102" s="257"/>
      <c r="J102" s="257"/>
      <c r="K102" s="257"/>
      <c r="L102" s="257"/>
      <c r="M102" s="257"/>
      <c r="N102" s="257"/>
    </row>
    <row r="103" spans="1:14" s="254" customFormat="1" ht="14.25" customHeight="1">
      <c r="A103" s="257"/>
      <c r="B103" s="257"/>
      <c r="C103" s="257"/>
      <c r="D103" s="257"/>
      <c r="E103" s="257"/>
      <c r="F103" s="257"/>
      <c r="G103" s="257"/>
      <c r="H103" s="257"/>
      <c r="I103" s="257"/>
      <c r="J103" s="257"/>
      <c r="K103" s="257"/>
      <c r="L103" s="257"/>
      <c r="M103" s="257"/>
      <c r="N103" s="257"/>
    </row>
    <row r="104" spans="1:14" s="254" customFormat="1" ht="14.25" customHeight="1">
      <c r="A104" s="257"/>
      <c r="B104" s="257"/>
      <c r="C104" s="257"/>
      <c r="D104" s="257"/>
      <c r="E104" s="257"/>
      <c r="F104" s="257"/>
      <c r="G104" s="257"/>
      <c r="H104" s="257"/>
      <c r="I104" s="257"/>
      <c r="J104" s="257"/>
      <c r="K104" s="257"/>
      <c r="L104" s="257"/>
      <c r="M104" s="257"/>
      <c r="N104" s="257"/>
    </row>
    <row r="105" spans="1:14" s="254" customFormat="1" ht="14.25" customHeight="1">
      <c r="A105" s="257"/>
      <c r="B105" s="257"/>
      <c r="C105" s="257"/>
      <c r="D105" s="257"/>
      <c r="E105" s="257"/>
      <c r="F105" s="257"/>
      <c r="G105" s="257"/>
      <c r="H105" s="257"/>
      <c r="I105" s="257"/>
      <c r="J105" s="257"/>
      <c r="K105" s="257"/>
      <c r="L105" s="257"/>
      <c r="M105" s="257"/>
      <c r="N105" s="257"/>
    </row>
    <row r="106" spans="1:14" s="254" customFormat="1" ht="14.25" customHeight="1">
      <c r="A106" s="257"/>
      <c r="B106" s="257"/>
      <c r="C106" s="257"/>
      <c r="D106" s="257"/>
      <c r="E106" s="257"/>
      <c r="F106" s="257"/>
      <c r="G106" s="257"/>
      <c r="H106" s="257"/>
      <c r="I106" s="257"/>
      <c r="J106" s="257"/>
      <c r="K106" s="257"/>
      <c r="L106" s="257"/>
      <c r="M106" s="257"/>
      <c r="N106" s="257"/>
    </row>
    <row r="107" spans="1:14" ht="14.25" customHeight="1">
      <c r="A107" s="257"/>
      <c r="B107" s="257"/>
      <c r="C107" s="257"/>
      <c r="D107" s="257"/>
      <c r="E107" s="257"/>
      <c r="F107" s="257"/>
      <c r="G107" s="257"/>
      <c r="H107" s="257"/>
      <c r="I107" s="257"/>
      <c r="J107" s="257"/>
      <c r="K107" s="257"/>
      <c r="L107" s="257"/>
      <c r="M107" s="257"/>
      <c r="N107" s="257"/>
    </row>
    <row r="108" spans="1:14" ht="14.25" customHeight="1">
      <c r="A108" s="257"/>
      <c r="B108" s="257"/>
      <c r="C108" s="257"/>
      <c r="D108" s="257"/>
      <c r="E108" s="257"/>
      <c r="F108" s="257"/>
      <c r="G108" s="257"/>
      <c r="H108" s="257"/>
      <c r="I108" s="257"/>
      <c r="J108" s="257"/>
      <c r="K108" s="257"/>
      <c r="L108" s="257"/>
      <c r="M108" s="257"/>
      <c r="N108" s="257"/>
    </row>
    <row r="109" spans="1:14" ht="14.25" customHeight="1">
      <c r="A109" s="263" t="s">
        <v>140</v>
      </c>
      <c r="B109" s="264"/>
      <c r="C109" s="264" t="str">
        <f>C6</f>
        <v>2013/Jul</v>
      </c>
      <c r="D109" s="264" t="str">
        <f t="shared" ref="D109:N109" si="8">D6</f>
        <v>2013/Aug</v>
      </c>
      <c r="E109" s="264" t="str">
        <f t="shared" si="8"/>
        <v>2013/Sep</v>
      </c>
      <c r="F109" s="264" t="str">
        <f t="shared" si="8"/>
        <v>2013/Oct</v>
      </c>
      <c r="G109" s="264" t="str">
        <f t="shared" si="8"/>
        <v>2013/Nov</v>
      </c>
      <c r="H109" s="264" t="str">
        <f t="shared" si="8"/>
        <v>2013/Dec</v>
      </c>
      <c r="I109" s="264" t="str">
        <f t="shared" si="8"/>
        <v>2014/Jan</v>
      </c>
      <c r="J109" s="264" t="str">
        <f t="shared" si="8"/>
        <v>2014/Feb</v>
      </c>
      <c r="K109" s="264" t="str">
        <f t="shared" si="8"/>
        <v>2014/Mar</v>
      </c>
      <c r="L109" s="264" t="str">
        <f t="shared" si="8"/>
        <v>2014/Apr</v>
      </c>
      <c r="M109" s="264" t="str">
        <f t="shared" si="8"/>
        <v>2014/May</v>
      </c>
      <c r="N109" s="264" t="str">
        <f t="shared" si="8"/>
        <v>2014/Jun</v>
      </c>
    </row>
    <row r="110" spans="1:14" ht="14.25" customHeight="1" thickBot="1">
      <c r="A110" s="260" t="s">
        <v>141</v>
      </c>
      <c r="B110" s="261" t="s">
        <v>122</v>
      </c>
      <c r="C110" s="262">
        <f>C11</f>
        <v>5050444.6000000108</v>
      </c>
      <c r="D110" s="262">
        <f t="shared" ref="D110:N110" si="9">D11</f>
        <v>3458379.4399999995</v>
      </c>
      <c r="E110" s="262">
        <f t="shared" si="9"/>
        <v>3839682.26000001</v>
      </c>
      <c r="F110" s="262">
        <f t="shared" si="9"/>
        <v>3976825.3</v>
      </c>
      <c r="G110" s="262">
        <f t="shared" si="9"/>
        <v>4293385.9399999995</v>
      </c>
      <c r="H110" s="262">
        <f t="shared" si="9"/>
        <v>4234069.25</v>
      </c>
      <c r="I110" s="262">
        <f t="shared" si="9"/>
        <v>6841506.4900000002</v>
      </c>
      <c r="J110" s="262">
        <f t="shared" si="9"/>
        <v>6231843.8199999994</v>
      </c>
      <c r="K110" s="262">
        <f t="shared" si="9"/>
        <v>6794153.2699999996</v>
      </c>
      <c r="L110" s="262">
        <f t="shared" si="9"/>
        <v>3978411.3600000008</v>
      </c>
      <c r="M110" s="262">
        <f t="shared" si="9"/>
        <v>3834317.4299999997</v>
      </c>
      <c r="N110" s="262">
        <f t="shared" si="9"/>
        <v>2995697.51</v>
      </c>
    </row>
    <row r="111" spans="1:14" ht="14.25" customHeight="1" thickTop="1" thickBot="1">
      <c r="A111" s="50" t="s">
        <v>156</v>
      </c>
      <c r="B111" s="51" t="s">
        <v>122</v>
      </c>
      <c r="C111" s="53">
        <f>C40</f>
        <v>5282428.99</v>
      </c>
      <c r="D111" s="53">
        <f t="shared" ref="D111:N111" si="10">D40</f>
        <v>3014314.84</v>
      </c>
      <c r="E111" s="53">
        <f t="shared" si="10"/>
        <v>937282.71</v>
      </c>
      <c r="F111" s="53">
        <f t="shared" si="10"/>
        <v>695698.95000000019</v>
      </c>
      <c r="G111" s="53">
        <f t="shared" si="10"/>
        <v>3800344.8500000006</v>
      </c>
      <c r="H111" s="53">
        <f t="shared" si="10"/>
        <v>4645081.8800000008</v>
      </c>
      <c r="I111" s="53">
        <f t="shared" si="10"/>
        <v>7033013.290000001</v>
      </c>
      <c r="J111" s="53">
        <f t="shared" si="10"/>
        <v>6182775.0500000007</v>
      </c>
      <c r="K111" s="53">
        <f t="shared" si="10"/>
        <v>6958599.8000000007</v>
      </c>
      <c r="L111" s="53">
        <f t="shared" si="10"/>
        <v>4551309.7100000009</v>
      </c>
      <c r="M111" s="53">
        <f t="shared" si="10"/>
        <v>4048270.16</v>
      </c>
      <c r="N111" s="53">
        <f t="shared" si="10"/>
        <v>4074116.5000000005</v>
      </c>
    </row>
    <row r="112" spans="1:14" ht="14.25" customHeight="1">
      <c r="A112" s="257"/>
      <c r="B112" s="257"/>
      <c r="C112" s="257"/>
      <c r="D112" s="257"/>
      <c r="E112" s="257"/>
      <c r="F112" s="257"/>
      <c r="G112" s="257"/>
      <c r="H112" s="257"/>
      <c r="I112" s="257"/>
      <c r="J112" s="257"/>
      <c r="K112" s="257"/>
      <c r="L112" s="257"/>
      <c r="M112" s="257"/>
      <c r="N112" s="257"/>
    </row>
    <row r="113" spans="1:14" ht="14.25" customHeight="1">
      <c r="A113" s="257"/>
      <c r="B113" s="257"/>
      <c r="C113" s="257"/>
      <c r="D113" s="257"/>
      <c r="E113" s="257"/>
      <c r="F113" s="257"/>
      <c r="G113" s="257"/>
      <c r="H113" s="257"/>
      <c r="I113" s="257"/>
      <c r="J113" s="257"/>
      <c r="K113" s="257"/>
      <c r="L113" s="257"/>
      <c r="M113" s="257"/>
      <c r="N113" s="257"/>
    </row>
    <row r="114" spans="1:14" ht="14.25" customHeight="1">
      <c r="A114" s="257"/>
      <c r="B114" s="257"/>
      <c r="C114" s="257"/>
      <c r="D114" s="257"/>
      <c r="E114" s="257"/>
      <c r="F114" s="257"/>
      <c r="G114" s="257"/>
      <c r="H114" s="257"/>
      <c r="I114" s="257"/>
      <c r="J114" s="257"/>
      <c r="K114" s="257"/>
      <c r="L114" s="257"/>
      <c r="M114" s="257"/>
      <c r="N114" s="257"/>
    </row>
    <row r="115" spans="1:14" ht="14.25" customHeight="1">
      <c r="A115" s="263" t="s">
        <v>146</v>
      </c>
      <c r="B115" s="264"/>
      <c r="C115" s="264" t="str">
        <f>C13</f>
        <v>2013/Jul</v>
      </c>
      <c r="D115" s="264" t="str">
        <f t="shared" ref="D115:N115" si="11">D13</f>
        <v>2013/Aug</v>
      </c>
      <c r="E115" s="264" t="str">
        <f t="shared" si="11"/>
        <v>2013/Sep</v>
      </c>
      <c r="F115" s="264" t="str">
        <f t="shared" si="11"/>
        <v>2013/Oct</v>
      </c>
      <c r="G115" s="264" t="str">
        <f t="shared" si="11"/>
        <v>2013/Nov</v>
      </c>
      <c r="H115" s="264" t="str">
        <f t="shared" si="11"/>
        <v>2013/Dec</v>
      </c>
      <c r="I115" s="264" t="str">
        <f t="shared" si="11"/>
        <v>2014/Jan</v>
      </c>
      <c r="J115" s="264" t="str">
        <f t="shared" si="11"/>
        <v>2014/Feb</v>
      </c>
      <c r="K115" s="264" t="str">
        <f t="shared" si="11"/>
        <v>2014/Mar</v>
      </c>
      <c r="L115" s="264" t="str">
        <f t="shared" si="11"/>
        <v>2014/Apr</v>
      </c>
      <c r="M115" s="264" t="str">
        <f t="shared" si="11"/>
        <v>2014/May</v>
      </c>
      <c r="N115" s="264" t="str">
        <f t="shared" si="11"/>
        <v>2014/Jun</v>
      </c>
    </row>
    <row r="116" spans="1:14" ht="14.25" customHeight="1" thickBot="1">
      <c r="A116" s="260" t="s">
        <v>141</v>
      </c>
      <c r="B116" s="261" t="s">
        <v>122</v>
      </c>
      <c r="C116" s="262">
        <f>C18</f>
        <v>7542994.7699999996</v>
      </c>
      <c r="D116" s="262">
        <f t="shared" ref="D116:N116" si="12">D18</f>
        <v>2007339.42</v>
      </c>
      <c r="E116" s="262">
        <f t="shared" si="12"/>
        <v>4357781.41</v>
      </c>
      <c r="F116" s="262">
        <f t="shared" si="12"/>
        <v>-1327482.6700000055</v>
      </c>
      <c r="G116" s="262">
        <f t="shared" si="12"/>
        <v>-4467368.6899999958</v>
      </c>
      <c r="H116" s="262">
        <f t="shared" si="12"/>
        <v>6734853.3199999984</v>
      </c>
      <c r="I116" s="262">
        <f t="shared" si="12"/>
        <v>15534470.68</v>
      </c>
      <c r="J116" s="262">
        <f t="shared" si="12"/>
        <v>11502060.09</v>
      </c>
      <c r="K116" s="262">
        <f t="shared" si="12"/>
        <v>11657393.350000001</v>
      </c>
      <c r="L116" s="262">
        <f t="shared" si="12"/>
        <v>7147213.4400000013</v>
      </c>
      <c r="M116" s="262">
        <f t="shared" si="12"/>
        <v>3584267.9000000004</v>
      </c>
      <c r="N116" s="262">
        <f t="shared" si="12"/>
        <v>11128380.07</v>
      </c>
    </row>
    <row r="117" spans="1:14" ht="14.25" customHeight="1" thickTop="1" thickBot="1">
      <c r="A117" s="50" t="s">
        <v>156</v>
      </c>
      <c r="B117" s="51" t="s">
        <v>122</v>
      </c>
      <c r="C117" s="53">
        <f>C48</f>
        <v>5734764.2700000014</v>
      </c>
      <c r="D117" s="53">
        <f t="shared" ref="D117:N117" si="13">D48</f>
        <v>3779140.0200000014</v>
      </c>
      <c r="E117" s="53">
        <f t="shared" si="13"/>
        <v>-613667.44999999925</v>
      </c>
      <c r="F117" s="53">
        <f t="shared" si="13"/>
        <v>-5747396.8399999999</v>
      </c>
      <c r="G117" s="53">
        <f t="shared" si="13"/>
        <v>-3523025.089999998</v>
      </c>
      <c r="H117" s="53">
        <f t="shared" si="13"/>
        <v>380758.06000000052</v>
      </c>
      <c r="I117" s="53">
        <f t="shared" si="13"/>
        <v>8082244.7800000031</v>
      </c>
      <c r="J117" s="53">
        <f t="shared" si="13"/>
        <v>7071588.6400000025</v>
      </c>
      <c r="K117" s="53">
        <f t="shared" si="13"/>
        <v>4321776.8199999984</v>
      </c>
      <c r="L117" s="53">
        <f t="shared" si="13"/>
        <v>8171766.6200000029</v>
      </c>
      <c r="M117" s="53">
        <f t="shared" si="13"/>
        <v>5828325.3200000003</v>
      </c>
      <c r="N117" s="53">
        <f t="shared" si="13"/>
        <v>6069939.7600000016</v>
      </c>
    </row>
    <row r="118" spans="1:14" ht="14.25" customHeight="1">
      <c r="A118" s="257"/>
      <c r="B118" s="257"/>
      <c r="C118" s="257"/>
      <c r="D118" s="257"/>
      <c r="E118" s="257"/>
      <c r="F118" s="257"/>
      <c r="G118" s="257"/>
      <c r="H118" s="257"/>
      <c r="I118" s="257"/>
      <c r="J118" s="257"/>
      <c r="K118" s="257"/>
      <c r="L118" s="257"/>
      <c r="M118" s="257"/>
      <c r="N118" s="257"/>
    </row>
    <row r="119" spans="1:14" ht="14.25" customHeight="1">
      <c r="A119" s="257"/>
      <c r="B119" s="257"/>
      <c r="C119" s="257"/>
      <c r="D119" s="257"/>
      <c r="E119" s="257"/>
      <c r="F119" s="257"/>
      <c r="G119" s="257"/>
      <c r="H119" s="257"/>
      <c r="I119" s="257"/>
      <c r="J119" s="257"/>
      <c r="K119" s="257"/>
      <c r="L119" s="257"/>
      <c r="M119" s="257"/>
      <c r="N119" s="257"/>
    </row>
    <row r="120" spans="1:14" ht="14.25" customHeight="1">
      <c r="A120" s="263" t="s">
        <v>135</v>
      </c>
      <c r="B120" s="264"/>
      <c r="C120" s="264" t="str">
        <f>C20</f>
        <v>2013/Jul</v>
      </c>
      <c r="D120" s="264" t="str">
        <f t="shared" ref="D120:N120" si="14">D20</f>
        <v>2013/Aug</v>
      </c>
      <c r="E120" s="264" t="str">
        <f t="shared" si="14"/>
        <v>2013/Sep</v>
      </c>
      <c r="F120" s="264" t="str">
        <f t="shared" si="14"/>
        <v>2013/Oct</v>
      </c>
      <c r="G120" s="264" t="str">
        <f t="shared" si="14"/>
        <v>2013/Nov</v>
      </c>
      <c r="H120" s="264" t="str">
        <f t="shared" si="14"/>
        <v>2013/Dec</v>
      </c>
      <c r="I120" s="264" t="str">
        <f t="shared" si="14"/>
        <v>2014/Jan</v>
      </c>
      <c r="J120" s="264" t="str">
        <f t="shared" si="14"/>
        <v>2014/Feb</v>
      </c>
      <c r="K120" s="264" t="str">
        <f t="shared" si="14"/>
        <v>2014/Mar</v>
      </c>
      <c r="L120" s="264" t="str">
        <f t="shared" si="14"/>
        <v>2014/Apr</v>
      </c>
      <c r="M120" s="264" t="str">
        <f t="shared" si="14"/>
        <v>2014/May</v>
      </c>
      <c r="N120" s="264" t="str">
        <f t="shared" si="14"/>
        <v>2014/Jun</v>
      </c>
    </row>
    <row r="121" spans="1:14" ht="14.25" customHeight="1" thickBot="1">
      <c r="A121" s="260" t="s">
        <v>141</v>
      </c>
      <c r="B121" s="261" t="s">
        <v>122</v>
      </c>
      <c r="C121" s="262">
        <f>C25</f>
        <v>9540867.7800000012</v>
      </c>
      <c r="D121" s="262">
        <f t="shared" ref="D121:N121" si="15">D25</f>
        <v>12148510.460000001</v>
      </c>
      <c r="E121" s="262">
        <f t="shared" si="15"/>
        <v>9292017.379999999</v>
      </c>
      <c r="F121" s="262">
        <f t="shared" si="15"/>
        <v>7961729.160000002</v>
      </c>
      <c r="G121" s="262">
        <f t="shared" si="15"/>
        <v>10048484.280000001</v>
      </c>
      <c r="H121" s="262">
        <f t="shared" si="15"/>
        <v>9229991.6099999994</v>
      </c>
      <c r="I121" s="262">
        <f t="shared" si="15"/>
        <v>14341629.849999998</v>
      </c>
      <c r="J121" s="262">
        <f t="shared" si="15"/>
        <v>14076053.039999999</v>
      </c>
      <c r="K121" s="262">
        <f t="shared" si="15"/>
        <v>13128407.379999999</v>
      </c>
      <c r="L121" s="262">
        <f t="shared" si="15"/>
        <v>15183280.52</v>
      </c>
      <c r="M121" s="262">
        <f t="shared" si="15"/>
        <v>14424786.729999999</v>
      </c>
      <c r="N121" s="262">
        <f t="shared" si="15"/>
        <v>13312411.609999999</v>
      </c>
    </row>
    <row r="122" spans="1:14" ht="14.25" customHeight="1" thickTop="1" thickBot="1">
      <c r="A122" s="50" t="s">
        <v>156</v>
      </c>
      <c r="B122" s="51" t="s">
        <v>122</v>
      </c>
      <c r="C122" s="53">
        <f>C56</f>
        <v>12024448.18</v>
      </c>
      <c r="D122" s="53">
        <f t="shared" ref="D122:N122" si="16">D56</f>
        <v>12146256.5</v>
      </c>
      <c r="E122" s="53">
        <f t="shared" si="16"/>
        <v>13925476.59</v>
      </c>
      <c r="F122" s="53">
        <f t="shared" si="16"/>
        <v>13260581.240000002</v>
      </c>
      <c r="G122" s="53">
        <f t="shared" si="16"/>
        <v>11735911.339999996</v>
      </c>
      <c r="H122" s="53">
        <f t="shared" si="16"/>
        <v>16373562.779999997</v>
      </c>
      <c r="I122" s="53">
        <f t="shared" si="16"/>
        <v>16635376.279999997</v>
      </c>
      <c r="J122" s="53">
        <f t="shared" si="16"/>
        <v>16475142.059999999</v>
      </c>
      <c r="K122" s="53">
        <f t="shared" si="16"/>
        <v>17799998.09</v>
      </c>
      <c r="L122" s="53">
        <f t="shared" si="16"/>
        <v>12419480.460000001</v>
      </c>
      <c r="M122" s="53">
        <f t="shared" si="16"/>
        <v>13873448.699999997</v>
      </c>
      <c r="N122" s="53">
        <f t="shared" si="16"/>
        <v>14546133.079999998</v>
      </c>
    </row>
    <row r="123" spans="1:14" ht="14.25" customHeight="1">
      <c r="A123" s="257"/>
      <c r="B123" s="257"/>
      <c r="C123" s="257"/>
      <c r="D123" s="257"/>
      <c r="E123" s="257"/>
      <c r="F123" s="257"/>
      <c r="G123" s="257"/>
      <c r="H123" s="257"/>
      <c r="I123" s="257"/>
      <c r="J123" s="257"/>
      <c r="K123" s="257"/>
      <c r="L123" s="257"/>
      <c r="M123" s="257"/>
      <c r="N123" s="257"/>
    </row>
    <row r="124" spans="1:14" ht="14.25" customHeight="1">
      <c r="A124" s="257"/>
      <c r="B124" s="257"/>
      <c r="C124" s="257"/>
      <c r="D124" s="257"/>
      <c r="E124" s="257"/>
      <c r="F124" s="257"/>
      <c r="G124" s="257"/>
      <c r="H124" s="257"/>
      <c r="I124" s="257"/>
      <c r="J124" s="257"/>
      <c r="K124" s="257"/>
      <c r="L124" s="257"/>
      <c r="M124" s="257"/>
      <c r="N124" s="257"/>
    </row>
    <row r="125" spans="1:14" ht="14.25" customHeight="1">
      <c r="A125" s="263" t="s">
        <v>136</v>
      </c>
      <c r="B125" s="264"/>
      <c r="C125" s="264" t="str">
        <f>C27</f>
        <v>2013/Jul</v>
      </c>
      <c r="D125" s="264" t="str">
        <f t="shared" ref="D125:N125" si="17">D27</f>
        <v>2013/Aug</v>
      </c>
      <c r="E125" s="264" t="str">
        <f t="shared" si="17"/>
        <v>2013/Sep</v>
      </c>
      <c r="F125" s="264" t="str">
        <f t="shared" si="17"/>
        <v>2013/Oct</v>
      </c>
      <c r="G125" s="264" t="str">
        <f t="shared" si="17"/>
        <v>2013/Nov</v>
      </c>
      <c r="H125" s="264" t="str">
        <f t="shared" si="17"/>
        <v>2013/Dec</v>
      </c>
      <c r="I125" s="264" t="str">
        <f t="shared" si="17"/>
        <v>2014/Jan</v>
      </c>
      <c r="J125" s="264" t="str">
        <f t="shared" si="17"/>
        <v>2014/Feb</v>
      </c>
      <c r="K125" s="264" t="str">
        <f t="shared" si="17"/>
        <v>2014/Mar</v>
      </c>
      <c r="L125" s="264" t="str">
        <f t="shared" si="17"/>
        <v>2014/Apr</v>
      </c>
      <c r="M125" s="264" t="str">
        <f t="shared" si="17"/>
        <v>2014/May</v>
      </c>
      <c r="N125" s="264" t="str">
        <f t="shared" si="17"/>
        <v>2014/Jun</v>
      </c>
    </row>
    <row r="126" spans="1:14" ht="14.25" customHeight="1" thickBot="1">
      <c r="A126" s="260" t="s">
        <v>141</v>
      </c>
      <c r="B126" s="261" t="s">
        <v>122</v>
      </c>
      <c r="C126" s="262">
        <f>C32</f>
        <v>22134307.15000001</v>
      </c>
      <c r="D126" s="262">
        <f t="shared" ref="D126:N126" si="18">D32</f>
        <v>17614229.320000004</v>
      </c>
      <c r="E126" s="262">
        <f t="shared" si="18"/>
        <v>17489481.050000008</v>
      </c>
      <c r="F126" s="262">
        <f t="shared" si="18"/>
        <v>10611071.789999999</v>
      </c>
      <c r="G126" s="262">
        <f t="shared" si="18"/>
        <v>9874501.5300000049</v>
      </c>
      <c r="H126" s="262">
        <f t="shared" si="18"/>
        <v>20198914.179999992</v>
      </c>
      <c r="I126" s="262">
        <f t="shared" si="18"/>
        <v>36717607.019999996</v>
      </c>
      <c r="J126" s="262">
        <f t="shared" si="18"/>
        <v>31809956.949999996</v>
      </c>
      <c r="K126" s="262">
        <f t="shared" si="18"/>
        <v>31579954</v>
      </c>
      <c r="L126" s="262">
        <f t="shared" si="18"/>
        <v>26308905.32</v>
      </c>
      <c r="M126" s="262">
        <f t="shared" si="18"/>
        <v>21843372.059999999</v>
      </c>
      <c r="N126" s="262">
        <f t="shared" si="18"/>
        <v>27436489.189999998</v>
      </c>
    </row>
    <row r="127" spans="1:14" ht="14.25" customHeight="1" thickTop="1" thickBot="1">
      <c r="A127" s="50" t="s">
        <v>156</v>
      </c>
      <c r="B127" s="51" t="s">
        <v>122</v>
      </c>
      <c r="C127" s="53">
        <f>C63</f>
        <v>23041641.440000001</v>
      </c>
      <c r="D127" s="53">
        <f t="shared" ref="D127:N127" si="19">D63</f>
        <v>18939711.360000003</v>
      </c>
      <c r="E127" s="53">
        <f t="shared" si="19"/>
        <v>14249091.850000001</v>
      </c>
      <c r="F127" s="53">
        <f t="shared" si="19"/>
        <v>8208883.3500000015</v>
      </c>
      <c r="G127" s="53">
        <f t="shared" si="19"/>
        <v>12013231.099999998</v>
      </c>
      <c r="H127" s="53">
        <f t="shared" si="19"/>
        <v>21399402.720000003</v>
      </c>
      <c r="I127" s="53">
        <f t="shared" si="19"/>
        <v>31750634.350000001</v>
      </c>
      <c r="J127" s="53">
        <f t="shared" si="19"/>
        <v>29729505.75</v>
      </c>
      <c r="K127" s="53">
        <f t="shared" si="19"/>
        <v>29080374.710000001</v>
      </c>
      <c r="L127" s="53">
        <f t="shared" si="19"/>
        <v>25142556.789999999</v>
      </c>
      <c r="M127" s="53">
        <f t="shared" si="19"/>
        <v>23750044.179999996</v>
      </c>
      <c r="N127" s="53">
        <f t="shared" si="19"/>
        <v>24690189.34</v>
      </c>
    </row>
    <row r="128" spans="1:14" ht="14.25" customHeight="1">
      <c r="A128" s="257"/>
      <c r="B128" s="257"/>
      <c r="C128" s="257"/>
      <c r="D128" s="257"/>
      <c r="E128" s="257"/>
      <c r="F128" s="257"/>
      <c r="G128" s="257"/>
      <c r="H128" s="257"/>
      <c r="I128" s="257"/>
      <c r="J128" s="257"/>
      <c r="K128" s="257"/>
      <c r="L128" s="257"/>
      <c r="M128" s="257"/>
      <c r="N128" s="257"/>
    </row>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sheetData>
  <mergeCells count="1">
    <mergeCell ref="A1:T1"/>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7"/>
  <sheetViews>
    <sheetView showGridLines="0" zoomScaleNormal="100" workbookViewId="0">
      <selection activeCell="B15" sqref="B15"/>
    </sheetView>
  </sheetViews>
  <sheetFormatPr defaultColWidth="14.42578125" defaultRowHeight="15" customHeight="1"/>
  <cols>
    <col min="1" max="2" width="28.140625" customWidth="1"/>
    <col min="3" max="3" width="27.42578125" customWidth="1"/>
    <col min="4" max="4" width="34" customWidth="1"/>
    <col min="5" max="16" width="17.85546875" customWidth="1"/>
    <col min="17" max="17" width="16" customWidth="1"/>
    <col min="18" max="18" width="15.42578125" customWidth="1"/>
    <col min="19" max="25" width="16" customWidth="1"/>
    <col min="26" max="26" width="17.14062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s="172" customFormat="1" ht="34.5" customHeight="1">
      <c r="A2" s="137" t="s">
        <v>158</v>
      </c>
      <c r="B2" s="137"/>
      <c r="C2" s="137"/>
      <c r="D2" s="137"/>
      <c r="E2" s="171"/>
      <c r="F2" s="171"/>
      <c r="G2" s="171"/>
      <c r="H2" s="171"/>
      <c r="I2" s="171"/>
      <c r="J2" s="171"/>
      <c r="K2" s="171"/>
      <c r="L2" s="171"/>
      <c r="M2" s="171"/>
      <c r="N2" s="171"/>
      <c r="O2" s="171"/>
      <c r="P2" s="171"/>
      <c r="Q2" s="137"/>
      <c r="R2" s="137"/>
      <c r="S2" s="137"/>
      <c r="T2" s="137"/>
      <c r="U2" s="137"/>
      <c r="V2" s="137"/>
      <c r="W2" s="137"/>
      <c r="X2" s="137"/>
      <c r="Y2" s="137"/>
      <c r="Z2" s="137"/>
    </row>
    <row r="3" spans="1:26" s="135" customFormat="1" ht="12" customHeight="1">
      <c r="A3" s="173"/>
      <c r="B3" s="174" t="s">
        <v>159</v>
      </c>
      <c r="C3" s="175" t="s">
        <v>41</v>
      </c>
      <c r="D3" s="173" t="s">
        <v>160</v>
      </c>
      <c r="E3" s="176">
        <v>41456</v>
      </c>
      <c r="F3" s="176">
        <v>41487</v>
      </c>
      <c r="G3" s="176">
        <v>41518</v>
      </c>
      <c r="H3" s="176">
        <v>41548</v>
      </c>
      <c r="I3" s="176">
        <v>41579</v>
      </c>
      <c r="J3" s="176">
        <v>41609</v>
      </c>
      <c r="K3" s="176">
        <v>41640</v>
      </c>
      <c r="L3" s="176">
        <v>41671</v>
      </c>
      <c r="M3" s="176">
        <v>41699</v>
      </c>
      <c r="N3" s="176">
        <v>41730</v>
      </c>
      <c r="O3" s="176">
        <v>41760</v>
      </c>
      <c r="P3" s="176">
        <v>41791</v>
      </c>
      <c r="Q3" s="91"/>
      <c r="R3" s="91"/>
      <c r="S3" s="91"/>
      <c r="T3" s="91"/>
      <c r="U3" s="91"/>
      <c r="V3" s="91"/>
      <c r="W3" s="91"/>
      <c r="X3" s="91"/>
      <c r="Y3" s="91"/>
      <c r="Z3" s="91"/>
    </row>
    <row r="4" spans="1:26" s="135" customFormat="1" ht="12" customHeight="1">
      <c r="A4" s="229"/>
      <c r="B4" s="230"/>
      <c r="C4" s="231"/>
      <c r="D4" s="232"/>
      <c r="E4" s="233" t="s">
        <v>43</v>
      </c>
      <c r="F4" s="233" t="s">
        <v>44</v>
      </c>
      <c r="G4" s="233" t="s">
        <v>45</v>
      </c>
      <c r="H4" s="233" t="s">
        <v>46</v>
      </c>
      <c r="I4" s="233" t="s">
        <v>47</v>
      </c>
      <c r="J4" s="233" t="s">
        <v>48</v>
      </c>
      <c r="K4" s="233" t="s">
        <v>49</v>
      </c>
      <c r="L4" s="233" t="s">
        <v>50</v>
      </c>
      <c r="M4" s="233" t="s">
        <v>51</v>
      </c>
      <c r="N4" s="233" t="s">
        <v>52</v>
      </c>
      <c r="O4" s="233" t="s">
        <v>53</v>
      </c>
      <c r="P4" s="233" t="s">
        <v>54</v>
      </c>
      <c r="Q4" s="209"/>
      <c r="R4" s="209"/>
      <c r="S4" s="209"/>
      <c r="T4" s="209"/>
      <c r="U4" s="209"/>
      <c r="V4" s="209"/>
      <c r="W4" s="209"/>
      <c r="X4" s="209"/>
      <c r="Y4" s="209"/>
      <c r="Z4" s="209"/>
    </row>
    <row r="5" spans="1:26" s="205" customFormat="1" ht="25.5" customHeight="1">
      <c r="A5" s="217" t="s">
        <v>161</v>
      </c>
      <c r="B5" s="218"/>
      <c r="C5" s="219"/>
      <c r="D5" s="220"/>
      <c r="E5" s="221"/>
      <c r="F5" s="221"/>
      <c r="G5" s="221"/>
      <c r="H5" s="221"/>
      <c r="I5" s="221"/>
      <c r="J5" s="221"/>
      <c r="K5" s="221"/>
      <c r="L5" s="221"/>
      <c r="M5" s="221"/>
      <c r="N5" s="221"/>
      <c r="O5" s="221"/>
      <c r="P5" s="221"/>
      <c r="Q5" s="258"/>
      <c r="R5" s="258"/>
      <c r="S5" s="258"/>
      <c r="T5" s="258"/>
      <c r="U5" s="258"/>
      <c r="V5" s="258"/>
      <c r="W5" s="258"/>
      <c r="X5" s="258"/>
      <c r="Y5" s="258"/>
      <c r="Z5" s="258"/>
    </row>
    <row r="6" spans="1:26" ht="12" customHeight="1">
      <c r="A6" s="166" t="s">
        <v>55</v>
      </c>
      <c r="B6" s="166" t="s">
        <v>56</v>
      </c>
      <c r="C6" s="168" t="s">
        <v>60</v>
      </c>
      <c r="D6" s="64" t="s">
        <v>58</v>
      </c>
      <c r="E6" s="164">
        <v>-33635</v>
      </c>
      <c r="F6" s="164">
        <v>-33635</v>
      </c>
      <c r="G6" s="164">
        <v>-32550</v>
      </c>
      <c r="H6" s="164">
        <v>-33635</v>
      </c>
      <c r="I6" s="164">
        <v>-32550</v>
      </c>
      <c r="J6" s="164">
        <v>-33635</v>
      </c>
      <c r="K6" s="164">
        <v>-33635</v>
      </c>
      <c r="L6" s="164">
        <v>-30380</v>
      </c>
      <c r="M6" s="164">
        <v>-33635</v>
      </c>
      <c r="N6" s="164">
        <v>-32550</v>
      </c>
      <c r="O6" s="164">
        <v>-33635</v>
      </c>
      <c r="P6" s="164">
        <v>-32550</v>
      </c>
      <c r="Q6" s="49"/>
      <c r="R6" s="49"/>
      <c r="S6" s="49"/>
      <c r="T6" s="49"/>
      <c r="U6" s="49"/>
      <c r="V6" s="49"/>
      <c r="W6" s="49"/>
      <c r="X6" s="49"/>
      <c r="Y6" s="49"/>
      <c r="Z6" s="49"/>
    </row>
    <row r="7" spans="1:26" ht="12" customHeight="1">
      <c r="A7" s="166" t="s">
        <v>55</v>
      </c>
      <c r="B7" s="166" t="s">
        <v>56</v>
      </c>
      <c r="C7" s="168" t="s">
        <v>60</v>
      </c>
      <c r="D7" s="64" t="s">
        <v>62</v>
      </c>
      <c r="E7" s="164">
        <v>-2100</v>
      </c>
      <c r="F7" s="164">
        <v>-2100</v>
      </c>
      <c r="G7" s="164">
        <v>-2100</v>
      </c>
      <c r="H7" s="164">
        <v>-2100</v>
      </c>
      <c r="I7" s="164">
        <v>-2100</v>
      </c>
      <c r="J7" s="164">
        <v>-2100</v>
      </c>
      <c r="K7" s="164">
        <v>-2100</v>
      </c>
      <c r="L7" s="164">
        <v>-2100</v>
      </c>
      <c r="M7" s="164">
        <v>-2100</v>
      </c>
      <c r="N7" s="164">
        <v>-2100</v>
      </c>
      <c r="O7" s="164">
        <v>-2100</v>
      </c>
      <c r="P7" s="164">
        <v>-2100</v>
      </c>
      <c r="Q7" s="49"/>
      <c r="R7" s="49"/>
      <c r="S7" s="49"/>
      <c r="T7" s="49"/>
      <c r="U7" s="49"/>
      <c r="V7" s="49"/>
      <c r="W7" s="49"/>
      <c r="X7" s="49"/>
      <c r="Y7" s="49"/>
      <c r="Z7" s="49"/>
    </row>
    <row r="8" spans="1:26" ht="12" customHeight="1">
      <c r="A8" s="166" t="s">
        <v>55</v>
      </c>
      <c r="B8" s="166" t="s">
        <v>56</v>
      </c>
      <c r="C8" s="168" t="s">
        <v>64</v>
      </c>
      <c r="D8" s="64" t="s">
        <v>58</v>
      </c>
      <c r="E8" s="164">
        <v>-8177640.7000000002</v>
      </c>
      <c r="F8" s="164">
        <v>-5932544.7000000002</v>
      </c>
      <c r="G8" s="164">
        <v>-5909109.7000000002</v>
      </c>
      <c r="H8" s="164">
        <v>-4369816.2300000004</v>
      </c>
      <c r="I8" s="164">
        <v>-7216006.2300000004</v>
      </c>
      <c r="J8" s="164">
        <v>-7965482.2300000004</v>
      </c>
      <c r="K8" s="164">
        <v>-10428957.23</v>
      </c>
      <c r="L8" s="164">
        <v>-9696384.2300000004</v>
      </c>
      <c r="M8" s="164">
        <v>-10403739.23</v>
      </c>
      <c r="N8" s="164">
        <v>-8059346.2300000004</v>
      </c>
      <c r="O8" s="164">
        <v>-7432112.2300000004</v>
      </c>
      <c r="P8" s="164">
        <v>-7981183.2300000004</v>
      </c>
      <c r="Q8" s="49"/>
      <c r="R8" s="49"/>
      <c r="S8" s="49"/>
      <c r="T8" s="49"/>
      <c r="U8" s="49"/>
      <c r="V8" s="49"/>
      <c r="W8" s="49"/>
      <c r="X8" s="49"/>
      <c r="Y8" s="49"/>
      <c r="Z8" s="49"/>
    </row>
    <row r="9" spans="1:26" ht="12" customHeight="1">
      <c r="A9" s="166" t="s">
        <v>55</v>
      </c>
      <c r="B9" s="166" t="s">
        <v>65</v>
      </c>
      <c r="C9" s="167" t="s">
        <v>66</v>
      </c>
      <c r="D9" s="64" t="s">
        <v>62</v>
      </c>
      <c r="E9" s="164">
        <v>30000</v>
      </c>
      <c r="F9" s="164">
        <v>30000</v>
      </c>
      <c r="G9" s="164">
        <v>30000</v>
      </c>
      <c r="H9" s="164">
        <v>30000</v>
      </c>
      <c r="I9" s="164">
        <v>30000</v>
      </c>
      <c r="J9" s="164">
        <v>30000</v>
      </c>
      <c r="K9" s="164">
        <v>30000</v>
      </c>
      <c r="L9" s="164">
        <v>30000</v>
      </c>
      <c r="M9" s="164">
        <v>30000</v>
      </c>
      <c r="N9" s="164">
        <v>30000</v>
      </c>
      <c r="O9" s="164">
        <v>30000</v>
      </c>
      <c r="P9" s="164">
        <v>30000</v>
      </c>
      <c r="Q9" s="49"/>
      <c r="R9" s="49"/>
      <c r="S9" s="49"/>
      <c r="T9" s="49"/>
      <c r="U9" s="49"/>
      <c r="V9" s="49"/>
      <c r="W9" s="49"/>
      <c r="X9" s="49"/>
      <c r="Y9" s="49"/>
      <c r="Z9" s="49"/>
    </row>
    <row r="10" spans="1:26" ht="12" customHeight="1">
      <c r="A10" s="166" t="s">
        <v>55</v>
      </c>
      <c r="B10" s="166" t="s">
        <v>28</v>
      </c>
      <c r="C10" s="167" t="s">
        <v>67</v>
      </c>
      <c r="D10" s="64" t="s">
        <v>68</v>
      </c>
      <c r="E10" s="164">
        <v>0</v>
      </c>
      <c r="F10" s="164">
        <v>0</v>
      </c>
      <c r="G10" s="164">
        <v>0</v>
      </c>
      <c r="H10" s="164">
        <v>0</v>
      </c>
      <c r="I10" s="164">
        <v>0</v>
      </c>
      <c r="J10" s="164">
        <v>0</v>
      </c>
      <c r="K10" s="164">
        <v>0</v>
      </c>
      <c r="L10" s="164">
        <v>0</v>
      </c>
      <c r="M10" s="164">
        <v>0</v>
      </c>
      <c r="N10" s="164">
        <v>0</v>
      </c>
      <c r="O10" s="164">
        <v>0</v>
      </c>
      <c r="P10" s="164">
        <v>0</v>
      </c>
      <c r="Q10" s="49"/>
      <c r="R10" s="49"/>
      <c r="S10" s="49"/>
      <c r="T10" s="49"/>
      <c r="U10" s="49"/>
      <c r="V10" s="49"/>
      <c r="W10" s="49"/>
      <c r="X10" s="49"/>
      <c r="Y10" s="49"/>
      <c r="Z10" s="49"/>
    </row>
    <row r="11" spans="1:26" ht="12" customHeight="1">
      <c r="A11" s="166" t="s">
        <v>55</v>
      </c>
      <c r="B11" s="166" t="s">
        <v>28</v>
      </c>
      <c r="C11" s="167" t="s">
        <v>67</v>
      </c>
      <c r="D11" s="64" t="s">
        <v>61</v>
      </c>
      <c r="E11" s="164">
        <v>30000</v>
      </c>
      <c r="F11" s="164">
        <v>30000</v>
      </c>
      <c r="G11" s="164">
        <v>30000</v>
      </c>
      <c r="H11" s="164">
        <v>30000</v>
      </c>
      <c r="I11" s="164">
        <v>30000</v>
      </c>
      <c r="J11" s="164">
        <v>30000</v>
      </c>
      <c r="K11" s="164">
        <v>30000</v>
      </c>
      <c r="L11" s="164">
        <v>30000</v>
      </c>
      <c r="M11" s="164">
        <v>30000</v>
      </c>
      <c r="N11" s="164">
        <v>30000</v>
      </c>
      <c r="O11" s="164">
        <v>30000</v>
      </c>
      <c r="P11" s="164">
        <v>30000</v>
      </c>
      <c r="Q11" s="49"/>
      <c r="R11" s="49"/>
      <c r="S11" s="49"/>
      <c r="T11" s="49"/>
      <c r="U11" s="49"/>
      <c r="V11" s="49"/>
      <c r="W11" s="49"/>
      <c r="X11" s="49"/>
      <c r="Y11" s="49"/>
      <c r="Z11" s="49"/>
    </row>
    <row r="12" spans="1:26" ht="12" customHeight="1">
      <c r="A12" s="166" t="s">
        <v>55</v>
      </c>
      <c r="B12" s="166" t="s">
        <v>28</v>
      </c>
      <c r="C12" s="167" t="s">
        <v>67</v>
      </c>
      <c r="D12" s="64" t="s">
        <v>62</v>
      </c>
      <c r="E12" s="164">
        <v>0</v>
      </c>
      <c r="F12" s="164">
        <v>0</v>
      </c>
      <c r="G12" s="164">
        <v>-76.260000000000005</v>
      </c>
      <c r="H12" s="164">
        <v>0</v>
      </c>
      <c r="I12" s="164">
        <v>0</v>
      </c>
      <c r="J12" s="164">
        <v>0</v>
      </c>
      <c r="K12" s="164">
        <v>0</v>
      </c>
      <c r="L12" s="164">
        <v>0</v>
      </c>
      <c r="M12" s="164">
        <v>0</v>
      </c>
      <c r="N12" s="164">
        <v>0</v>
      </c>
      <c r="O12" s="164">
        <v>0</v>
      </c>
      <c r="P12" s="164">
        <v>0</v>
      </c>
      <c r="Q12" s="49"/>
      <c r="R12" s="49"/>
      <c r="S12" s="49"/>
      <c r="T12" s="49"/>
      <c r="U12" s="49"/>
      <c r="V12" s="49"/>
      <c r="W12" s="49"/>
      <c r="X12" s="49"/>
      <c r="Y12" s="49"/>
      <c r="Z12" s="49"/>
    </row>
    <row r="13" spans="1:26" s="239" customFormat="1" ht="12" customHeight="1">
      <c r="A13" s="234" t="s">
        <v>55</v>
      </c>
      <c r="B13" s="234" t="s">
        <v>59</v>
      </c>
      <c r="C13" s="235"/>
      <c r="D13" s="236" t="s">
        <v>59</v>
      </c>
      <c r="E13" s="237"/>
      <c r="F13" s="237"/>
      <c r="G13" s="237"/>
      <c r="H13" s="237"/>
      <c r="I13" s="237"/>
      <c r="J13" s="237"/>
      <c r="K13" s="237"/>
      <c r="L13" s="237"/>
      <c r="M13" s="237"/>
      <c r="N13" s="237"/>
      <c r="O13" s="237"/>
      <c r="P13" s="237"/>
      <c r="Q13" s="238"/>
      <c r="R13" s="238"/>
      <c r="S13" s="238"/>
      <c r="T13" s="238"/>
      <c r="U13" s="238"/>
      <c r="V13" s="238"/>
      <c r="W13" s="238"/>
      <c r="X13" s="238"/>
      <c r="Y13" s="238"/>
      <c r="Z13" s="238"/>
    </row>
    <row r="14" spans="1:26" ht="12" customHeight="1">
      <c r="A14" s="166" t="s">
        <v>55</v>
      </c>
      <c r="B14" s="166" t="s">
        <v>59</v>
      </c>
      <c r="C14" s="167"/>
      <c r="D14" s="64" t="s">
        <v>58</v>
      </c>
      <c r="E14" s="164">
        <f>SUMIFS(E$6:E$12,$D$6:$D$12,$D14)</f>
        <v>-8211275.7000000002</v>
      </c>
      <c r="F14" s="164">
        <f>SUMIFS(F$6:F$12,$D$6:$D$12,$D14)</f>
        <v>-5966179.7000000002</v>
      </c>
      <c r="G14" s="164">
        <f t="shared" ref="G14:P14" si="0">SUMIFS(G$6:G$12,$D$6:$D$12,$D14)</f>
        <v>-5941659.7000000002</v>
      </c>
      <c r="H14" s="164">
        <f t="shared" si="0"/>
        <v>-4403451.2300000004</v>
      </c>
      <c r="I14" s="164">
        <f t="shared" si="0"/>
        <v>-7248556.2300000004</v>
      </c>
      <c r="J14" s="164">
        <f t="shared" si="0"/>
        <v>-7999117.2300000004</v>
      </c>
      <c r="K14" s="164">
        <f t="shared" si="0"/>
        <v>-10462592.23</v>
      </c>
      <c r="L14" s="164">
        <f t="shared" si="0"/>
        <v>-9726764.2300000004</v>
      </c>
      <c r="M14" s="164">
        <f t="shared" si="0"/>
        <v>-10437374.23</v>
      </c>
      <c r="N14" s="164">
        <f t="shared" si="0"/>
        <v>-8091896.2300000004</v>
      </c>
      <c r="O14" s="164">
        <f t="shared" si="0"/>
        <v>-7465747.2300000004</v>
      </c>
      <c r="P14" s="164">
        <f t="shared" si="0"/>
        <v>-8013733.2300000004</v>
      </c>
      <c r="Q14" s="54"/>
      <c r="R14" s="54"/>
      <c r="S14" s="54"/>
      <c r="T14" s="54"/>
      <c r="U14" s="54"/>
      <c r="V14" s="54"/>
      <c r="W14" s="54"/>
      <c r="X14" s="54"/>
      <c r="Y14" s="54"/>
      <c r="Z14" s="54"/>
    </row>
    <row r="15" spans="1:26" ht="12" customHeight="1">
      <c r="A15" s="166" t="s">
        <v>55</v>
      </c>
      <c r="B15" s="166" t="s">
        <v>59</v>
      </c>
      <c r="C15" s="168"/>
      <c r="D15" s="64" t="s">
        <v>62</v>
      </c>
      <c r="E15" s="164">
        <f t="shared" ref="E15:P17" si="1">SUMIFS(E$6:E$12,$D$6:$D$12,$D15)</f>
        <v>27900</v>
      </c>
      <c r="F15" s="164">
        <f t="shared" si="1"/>
        <v>27900</v>
      </c>
      <c r="G15" s="164">
        <f t="shared" si="1"/>
        <v>27823.74</v>
      </c>
      <c r="H15" s="164">
        <f t="shared" si="1"/>
        <v>27900</v>
      </c>
      <c r="I15" s="164">
        <f t="shared" si="1"/>
        <v>27900</v>
      </c>
      <c r="J15" s="164">
        <f t="shared" si="1"/>
        <v>27900</v>
      </c>
      <c r="K15" s="164">
        <f t="shared" si="1"/>
        <v>27900</v>
      </c>
      <c r="L15" s="164">
        <f t="shared" si="1"/>
        <v>27900</v>
      </c>
      <c r="M15" s="164">
        <f t="shared" si="1"/>
        <v>27900</v>
      </c>
      <c r="N15" s="164">
        <f t="shared" si="1"/>
        <v>27900</v>
      </c>
      <c r="O15" s="164">
        <f t="shared" si="1"/>
        <v>27900</v>
      </c>
      <c r="P15" s="164">
        <f t="shared" si="1"/>
        <v>27900</v>
      </c>
      <c r="Q15" s="54"/>
      <c r="R15" s="54"/>
      <c r="S15" s="54"/>
      <c r="T15" s="54"/>
      <c r="U15" s="54"/>
      <c r="V15" s="54"/>
      <c r="W15" s="54"/>
      <c r="X15" s="54"/>
      <c r="Y15" s="54"/>
      <c r="Z15" s="54"/>
    </row>
    <row r="16" spans="1:26" ht="12" customHeight="1">
      <c r="A16" s="166" t="s">
        <v>55</v>
      </c>
      <c r="B16" s="166" t="s">
        <v>59</v>
      </c>
      <c r="C16" s="168"/>
      <c r="D16" s="64" t="s">
        <v>61</v>
      </c>
      <c r="E16" s="164">
        <f t="shared" si="1"/>
        <v>30000</v>
      </c>
      <c r="F16" s="164">
        <f t="shared" si="1"/>
        <v>30000</v>
      </c>
      <c r="G16" s="164">
        <f t="shared" si="1"/>
        <v>30000</v>
      </c>
      <c r="H16" s="164">
        <f t="shared" si="1"/>
        <v>30000</v>
      </c>
      <c r="I16" s="164">
        <f t="shared" si="1"/>
        <v>30000</v>
      </c>
      <c r="J16" s="164">
        <f t="shared" si="1"/>
        <v>30000</v>
      </c>
      <c r="K16" s="164">
        <f t="shared" si="1"/>
        <v>30000</v>
      </c>
      <c r="L16" s="164">
        <f t="shared" si="1"/>
        <v>30000</v>
      </c>
      <c r="M16" s="164">
        <f t="shared" si="1"/>
        <v>30000</v>
      </c>
      <c r="N16" s="164">
        <f t="shared" si="1"/>
        <v>30000</v>
      </c>
      <c r="O16" s="164">
        <f t="shared" si="1"/>
        <v>30000</v>
      </c>
      <c r="P16" s="164">
        <f t="shared" si="1"/>
        <v>30000</v>
      </c>
      <c r="Q16" s="54"/>
      <c r="R16" s="54"/>
      <c r="S16" s="54"/>
      <c r="T16" s="54"/>
      <c r="U16" s="54"/>
      <c r="V16" s="54"/>
      <c r="W16" s="54"/>
      <c r="X16" s="54"/>
      <c r="Y16" s="54"/>
      <c r="Z16" s="54"/>
    </row>
    <row r="17" spans="1:26" s="204" customFormat="1" ht="12" customHeight="1">
      <c r="A17" s="166" t="s">
        <v>55</v>
      </c>
      <c r="B17" s="166" t="s">
        <v>59</v>
      </c>
      <c r="C17" s="168"/>
      <c r="D17" s="64" t="s">
        <v>68</v>
      </c>
      <c r="E17" s="164">
        <f t="shared" si="1"/>
        <v>0</v>
      </c>
      <c r="F17" s="164">
        <f t="shared" si="1"/>
        <v>0</v>
      </c>
      <c r="G17" s="164">
        <f t="shared" si="1"/>
        <v>0</v>
      </c>
      <c r="H17" s="164">
        <f t="shared" si="1"/>
        <v>0</v>
      </c>
      <c r="I17" s="164">
        <f t="shared" si="1"/>
        <v>0</v>
      </c>
      <c r="J17" s="164">
        <f t="shared" si="1"/>
        <v>0</v>
      </c>
      <c r="K17" s="164">
        <f t="shared" si="1"/>
        <v>0</v>
      </c>
      <c r="L17" s="164">
        <f t="shared" si="1"/>
        <v>0</v>
      </c>
      <c r="M17" s="164">
        <f t="shared" si="1"/>
        <v>0</v>
      </c>
      <c r="N17" s="164">
        <f t="shared" si="1"/>
        <v>0</v>
      </c>
      <c r="O17" s="164">
        <f t="shared" si="1"/>
        <v>0</v>
      </c>
      <c r="P17" s="164">
        <f t="shared" si="1"/>
        <v>0</v>
      </c>
      <c r="Q17" s="54"/>
      <c r="R17" s="54"/>
      <c r="S17" s="54"/>
      <c r="T17" s="54"/>
      <c r="U17" s="54"/>
      <c r="V17" s="54"/>
      <c r="W17" s="54"/>
      <c r="X17" s="54"/>
      <c r="Y17" s="54"/>
      <c r="Z17" s="54"/>
    </row>
    <row r="18" spans="1:26" ht="12" customHeight="1">
      <c r="A18" s="166" t="s">
        <v>55</v>
      </c>
      <c r="B18" s="166" t="s">
        <v>59</v>
      </c>
      <c r="C18" s="168"/>
      <c r="D18" s="64" t="s">
        <v>59</v>
      </c>
      <c r="E18" s="164">
        <f>SUM(E14:E17)</f>
        <v>-8153375.7000000002</v>
      </c>
      <c r="F18" s="164">
        <f t="shared" ref="F18:P18" si="2">SUM(F14:F17)</f>
        <v>-5908279.7000000002</v>
      </c>
      <c r="G18" s="164">
        <f t="shared" si="2"/>
        <v>-5883835.96</v>
      </c>
      <c r="H18" s="164">
        <f t="shared" si="2"/>
        <v>-4345551.2300000004</v>
      </c>
      <c r="I18" s="164">
        <f t="shared" si="2"/>
        <v>-7190656.2300000004</v>
      </c>
      <c r="J18" s="164">
        <f t="shared" si="2"/>
        <v>-7941217.2300000004</v>
      </c>
      <c r="K18" s="164">
        <f t="shared" si="2"/>
        <v>-10404692.23</v>
      </c>
      <c r="L18" s="164">
        <f t="shared" si="2"/>
        <v>-9668864.2300000004</v>
      </c>
      <c r="M18" s="164">
        <f t="shared" si="2"/>
        <v>-10379474.23</v>
      </c>
      <c r="N18" s="164">
        <f t="shared" si="2"/>
        <v>-8033996.2300000004</v>
      </c>
      <c r="O18" s="164">
        <f t="shared" si="2"/>
        <v>-7407847.2300000004</v>
      </c>
      <c r="P18" s="164">
        <f t="shared" si="2"/>
        <v>-7955833.2300000004</v>
      </c>
      <c r="Q18" s="54"/>
      <c r="R18" s="54"/>
      <c r="S18" s="54"/>
      <c r="T18" s="54"/>
      <c r="U18" s="54"/>
      <c r="V18" s="54"/>
      <c r="W18" s="54"/>
      <c r="X18" s="54"/>
      <c r="Y18" s="54"/>
      <c r="Z18" s="54"/>
    </row>
    <row r="19" spans="1:26" s="170" customFormat="1" ht="26.25" customHeight="1">
      <c r="A19" s="222" t="s">
        <v>162</v>
      </c>
      <c r="B19" s="212"/>
      <c r="C19" s="213"/>
      <c r="D19" s="214"/>
      <c r="E19" s="215"/>
      <c r="F19" s="215"/>
      <c r="G19" s="215"/>
      <c r="H19" s="215"/>
      <c r="I19" s="215"/>
      <c r="J19" s="215"/>
      <c r="K19" s="215"/>
      <c r="L19" s="215"/>
      <c r="M19" s="215"/>
      <c r="N19" s="215"/>
      <c r="O19" s="215"/>
      <c r="P19" s="215"/>
      <c r="Q19" s="216"/>
      <c r="R19" s="216"/>
      <c r="S19" s="216"/>
      <c r="T19" s="216"/>
      <c r="U19" s="216"/>
      <c r="V19" s="216"/>
      <c r="W19" s="216"/>
      <c r="X19" s="216"/>
      <c r="Y19" s="216"/>
      <c r="Z19" s="216"/>
    </row>
    <row r="20" spans="1:26" ht="12" customHeight="1">
      <c r="A20" s="166" t="s">
        <v>69</v>
      </c>
      <c r="B20" s="166" t="s">
        <v>56</v>
      </c>
      <c r="C20" s="168" t="s">
        <v>60</v>
      </c>
      <c r="D20" s="64" t="s">
        <v>63</v>
      </c>
      <c r="E20" s="164">
        <v>-716666.67</v>
      </c>
      <c r="F20" s="164">
        <v>-716666.67</v>
      </c>
      <c r="G20" s="164">
        <v>-716666.67</v>
      </c>
      <c r="H20" s="164">
        <v>-716666.67</v>
      </c>
      <c r="I20" s="164">
        <v>-716666.67</v>
      </c>
      <c r="J20" s="164">
        <v>-716666.67</v>
      </c>
      <c r="K20" s="164">
        <v>-716666.67</v>
      </c>
      <c r="L20" s="164">
        <v>-716666.67</v>
      </c>
      <c r="M20" s="164">
        <v>-716666.67</v>
      </c>
      <c r="N20" s="164">
        <v>-716666.67</v>
      </c>
      <c r="O20" s="164">
        <v>-716666.67</v>
      </c>
      <c r="P20" s="164">
        <v>-716666.67</v>
      </c>
      <c r="Q20" s="49"/>
      <c r="R20" s="49"/>
      <c r="S20" s="49"/>
      <c r="T20" s="49"/>
      <c r="U20" s="49"/>
      <c r="V20" s="49"/>
      <c r="W20" s="49"/>
      <c r="X20" s="49"/>
      <c r="Y20" s="49"/>
      <c r="Z20" s="49"/>
    </row>
    <row r="21" spans="1:26" ht="12" customHeight="1">
      <c r="A21" s="166" t="s">
        <v>69</v>
      </c>
      <c r="B21" s="166" t="s">
        <v>56</v>
      </c>
      <c r="C21" s="168" t="s">
        <v>64</v>
      </c>
      <c r="D21" s="64" t="s">
        <v>58</v>
      </c>
      <c r="E21" s="164">
        <v>-15823183.890000001</v>
      </c>
      <c r="F21" s="164">
        <v>-14219448.65</v>
      </c>
      <c r="G21" s="164">
        <v>-14195162.68</v>
      </c>
      <c r="H21" s="164">
        <v>-12095823.35</v>
      </c>
      <c r="I21" s="164">
        <v>-13008587.449999999</v>
      </c>
      <c r="J21" s="164">
        <v>-12252418.84</v>
      </c>
      <c r="K21" s="164">
        <v>-16974980.300000001</v>
      </c>
      <c r="L21" s="164">
        <v>-16212486.52</v>
      </c>
      <c r="M21" s="164">
        <v>-15257766.699999999</v>
      </c>
      <c r="N21" s="164">
        <v>-18323320.02</v>
      </c>
      <c r="O21" s="164">
        <v>-16365877.74</v>
      </c>
      <c r="P21" s="164">
        <v>-18228731.18</v>
      </c>
      <c r="Q21" s="49"/>
      <c r="R21" s="49"/>
      <c r="S21" s="49"/>
      <c r="T21" s="49"/>
      <c r="U21" s="49"/>
      <c r="V21" s="49"/>
      <c r="W21" s="49"/>
      <c r="X21" s="49"/>
      <c r="Y21" s="49"/>
      <c r="Z21" s="49"/>
    </row>
    <row r="22" spans="1:26" ht="12" customHeight="1">
      <c r="A22" s="166" t="s">
        <v>69</v>
      </c>
      <c r="B22" s="166" t="s">
        <v>65</v>
      </c>
      <c r="C22" s="168" t="s">
        <v>66</v>
      </c>
      <c r="D22" s="64" t="s">
        <v>62</v>
      </c>
      <c r="E22" s="164">
        <v>169981</v>
      </c>
      <c r="F22" s="164">
        <v>169981</v>
      </c>
      <c r="G22" s="164">
        <v>169981</v>
      </c>
      <c r="H22" s="164">
        <v>166888</v>
      </c>
      <c r="I22" s="164">
        <v>166888</v>
      </c>
      <c r="J22" s="164">
        <v>392677</v>
      </c>
      <c r="K22" s="164">
        <v>392677</v>
      </c>
      <c r="L22" s="164">
        <v>608648</v>
      </c>
      <c r="M22" s="164">
        <v>608648</v>
      </c>
      <c r="N22" s="164">
        <v>166888</v>
      </c>
      <c r="O22" s="164">
        <v>166888</v>
      </c>
      <c r="P22" s="164">
        <v>166888</v>
      </c>
      <c r="Q22" s="49"/>
      <c r="R22" s="49"/>
      <c r="S22" s="49"/>
      <c r="T22" s="49"/>
      <c r="U22" s="49"/>
      <c r="V22" s="49"/>
      <c r="W22" s="49"/>
      <c r="X22" s="49"/>
      <c r="Y22" s="49"/>
      <c r="Z22" s="49"/>
    </row>
    <row r="23" spans="1:26" ht="16.5" customHeight="1">
      <c r="A23" s="166" t="s">
        <v>69</v>
      </c>
      <c r="B23" s="166" t="s">
        <v>28</v>
      </c>
      <c r="C23" s="167" t="s">
        <v>67</v>
      </c>
      <c r="D23" s="64" t="s">
        <v>62</v>
      </c>
      <c r="E23" s="164">
        <v>479062.54</v>
      </c>
      <c r="F23" s="164">
        <v>479062.54</v>
      </c>
      <c r="G23" s="164">
        <v>479062.54</v>
      </c>
      <c r="H23" s="164">
        <v>479062.54</v>
      </c>
      <c r="I23" s="164">
        <v>479062.54</v>
      </c>
      <c r="J23" s="164">
        <v>479062.54</v>
      </c>
      <c r="K23" s="164">
        <v>479062.54</v>
      </c>
      <c r="L23" s="164">
        <v>479062.54</v>
      </c>
      <c r="M23" s="164">
        <v>479062.54</v>
      </c>
      <c r="N23" s="164">
        <v>479062.54</v>
      </c>
      <c r="O23" s="164">
        <v>479062.54</v>
      </c>
      <c r="P23" s="164">
        <v>479062.54</v>
      </c>
      <c r="Q23" s="49"/>
      <c r="R23" s="49"/>
      <c r="S23" s="49"/>
      <c r="T23" s="49"/>
      <c r="U23" s="49"/>
      <c r="V23" s="49"/>
      <c r="W23" s="49"/>
      <c r="X23" s="49"/>
      <c r="Y23" s="49"/>
      <c r="Z23" s="49"/>
    </row>
    <row r="24" spans="1:26" s="242" customFormat="1" ht="16.5" customHeight="1">
      <c r="A24" s="234" t="s">
        <v>69</v>
      </c>
      <c r="B24" s="234" t="s">
        <v>59</v>
      </c>
      <c r="C24" s="235" t="s">
        <v>59</v>
      </c>
      <c r="D24" s="236" t="s">
        <v>59</v>
      </c>
      <c r="E24" s="240"/>
      <c r="F24" s="240"/>
      <c r="G24" s="240"/>
      <c r="H24" s="240"/>
      <c r="I24" s="240"/>
      <c r="J24" s="240"/>
      <c r="K24" s="240"/>
      <c r="L24" s="240"/>
      <c r="M24" s="240"/>
      <c r="N24" s="240"/>
      <c r="O24" s="240"/>
      <c r="P24" s="240"/>
      <c r="Q24" s="241"/>
      <c r="R24" s="241"/>
      <c r="S24" s="241"/>
      <c r="T24" s="241"/>
      <c r="U24" s="241"/>
      <c r="V24" s="241"/>
      <c r="W24" s="241"/>
      <c r="X24" s="241"/>
      <c r="Y24" s="241"/>
      <c r="Z24" s="241"/>
    </row>
    <row r="25" spans="1:26" ht="12" customHeight="1">
      <c r="A25" s="166" t="s">
        <v>69</v>
      </c>
      <c r="B25" s="166" t="s">
        <v>59</v>
      </c>
      <c r="C25" s="167" t="s">
        <v>59</v>
      </c>
      <c r="D25" s="64" t="s">
        <v>58</v>
      </c>
      <c r="E25" s="164">
        <f>SUMIFS(E$20:E$23,$D$20:$D$23,$D25)</f>
        <v>-15823183.890000001</v>
      </c>
      <c r="F25" s="164">
        <f t="shared" ref="F25:P25" si="3">SUMIFS(F$20:F$23,$D$20:$D$23,$D25)</f>
        <v>-14219448.65</v>
      </c>
      <c r="G25" s="164">
        <f t="shared" si="3"/>
        <v>-14195162.68</v>
      </c>
      <c r="H25" s="164">
        <f t="shared" si="3"/>
        <v>-12095823.35</v>
      </c>
      <c r="I25" s="164">
        <f t="shared" si="3"/>
        <v>-13008587.449999999</v>
      </c>
      <c r="J25" s="164">
        <f t="shared" si="3"/>
        <v>-12252418.84</v>
      </c>
      <c r="K25" s="164">
        <f t="shared" si="3"/>
        <v>-16974980.300000001</v>
      </c>
      <c r="L25" s="164">
        <f t="shared" si="3"/>
        <v>-16212486.52</v>
      </c>
      <c r="M25" s="164">
        <f t="shared" si="3"/>
        <v>-15257766.699999999</v>
      </c>
      <c r="N25" s="164">
        <f t="shared" si="3"/>
        <v>-18323320.02</v>
      </c>
      <c r="O25" s="164">
        <f t="shared" si="3"/>
        <v>-16365877.74</v>
      </c>
      <c r="P25" s="164">
        <f t="shared" si="3"/>
        <v>-18228731.18</v>
      </c>
      <c r="Q25" s="54"/>
      <c r="R25" s="54"/>
      <c r="S25" s="54"/>
      <c r="T25" s="54"/>
      <c r="U25" s="54"/>
      <c r="V25" s="54"/>
      <c r="W25" s="54"/>
      <c r="X25" s="54"/>
      <c r="Y25" s="54"/>
      <c r="Z25" s="54"/>
    </row>
    <row r="26" spans="1:26" ht="12" customHeight="1">
      <c r="A26" s="166" t="s">
        <v>69</v>
      </c>
      <c r="B26" s="166" t="s">
        <v>59</v>
      </c>
      <c r="C26" s="167" t="s">
        <v>59</v>
      </c>
      <c r="D26" s="64" t="s">
        <v>62</v>
      </c>
      <c r="E26" s="164">
        <f t="shared" ref="E26:P27" si="4">SUMIFS(E$20:E$23,$D$20:$D$23,$D26)</f>
        <v>649043.54</v>
      </c>
      <c r="F26" s="164">
        <f t="shared" si="4"/>
        <v>649043.54</v>
      </c>
      <c r="G26" s="164">
        <f t="shared" si="4"/>
        <v>649043.54</v>
      </c>
      <c r="H26" s="164">
        <f t="shared" si="4"/>
        <v>645950.54</v>
      </c>
      <c r="I26" s="164">
        <f t="shared" si="4"/>
        <v>645950.54</v>
      </c>
      <c r="J26" s="164">
        <f t="shared" si="4"/>
        <v>871739.54</v>
      </c>
      <c r="K26" s="164">
        <f t="shared" si="4"/>
        <v>871739.54</v>
      </c>
      <c r="L26" s="164">
        <f t="shared" si="4"/>
        <v>1087710.54</v>
      </c>
      <c r="M26" s="164">
        <f t="shared" si="4"/>
        <v>1087710.54</v>
      </c>
      <c r="N26" s="164">
        <f t="shared" si="4"/>
        <v>645950.54</v>
      </c>
      <c r="O26" s="164">
        <f t="shared" si="4"/>
        <v>645950.54</v>
      </c>
      <c r="P26" s="164">
        <f t="shared" si="4"/>
        <v>645950.54</v>
      </c>
      <c r="Q26" s="54"/>
      <c r="R26" s="54"/>
      <c r="S26" s="54"/>
      <c r="T26" s="54"/>
      <c r="U26" s="54"/>
      <c r="V26" s="54"/>
      <c r="W26" s="54"/>
      <c r="X26" s="54"/>
      <c r="Y26" s="54"/>
      <c r="Z26" s="54"/>
    </row>
    <row r="27" spans="1:26" ht="12" customHeight="1">
      <c r="A27" s="166" t="s">
        <v>69</v>
      </c>
      <c r="B27" s="166" t="s">
        <v>59</v>
      </c>
      <c r="C27" s="167" t="s">
        <v>59</v>
      </c>
      <c r="D27" s="64" t="s">
        <v>63</v>
      </c>
      <c r="E27" s="164">
        <f t="shared" si="4"/>
        <v>-716666.67</v>
      </c>
      <c r="F27" s="164">
        <f t="shared" si="4"/>
        <v>-716666.67</v>
      </c>
      <c r="G27" s="164">
        <f t="shared" si="4"/>
        <v>-716666.67</v>
      </c>
      <c r="H27" s="164">
        <f t="shared" si="4"/>
        <v>-716666.67</v>
      </c>
      <c r="I27" s="164">
        <f t="shared" si="4"/>
        <v>-716666.67</v>
      </c>
      <c r="J27" s="164">
        <f t="shared" si="4"/>
        <v>-716666.67</v>
      </c>
      <c r="K27" s="164">
        <f t="shared" si="4"/>
        <v>-716666.67</v>
      </c>
      <c r="L27" s="164">
        <f t="shared" si="4"/>
        <v>-716666.67</v>
      </c>
      <c r="M27" s="164">
        <f t="shared" si="4"/>
        <v>-716666.67</v>
      </c>
      <c r="N27" s="164">
        <f t="shared" si="4"/>
        <v>-716666.67</v>
      </c>
      <c r="O27" s="164">
        <f t="shared" si="4"/>
        <v>-716666.67</v>
      </c>
      <c r="P27" s="164">
        <f t="shared" si="4"/>
        <v>-716666.67</v>
      </c>
      <c r="Q27" s="54"/>
      <c r="R27" s="54"/>
      <c r="S27" s="54"/>
      <c r="T27" s="54"/>
      <c r="U27" s="54"/>
      <c r="V27" s="54"/>
      <c r="W27" s="54"/>
      <c r="X27" s="54"/>
      <c r="Y27" s="54"/>
      <c r="Z27" s="54"/>
    </row>
    <row r="28" spans="1:26" ht="12" customHeight="1">
      <c r="A28" s="166" t="s">
        <v>69</v>
      </c>
      <c r="B28" s="166" t="s">
        <v>59</v>
      </c>
      <c r="C28" s="167" t="s">
        <v>59</v>
      </c>
      <c r="D28" s="64" t="s">
        <v>59</v>
      </c>
      <c r="E28" s="164">
        <f>SUM(E25:E27)</f>
        <v>-15890807.020000001</v>
      </c>
      <c r="F28" s="164">
        <f t="shared" ref="F28:P28" si="5">SUM(F25:F27)</f>
        <v>-14287071.779999999</v>
      </c>
      <c r="G28" s="164">
        <f t="shared" si="5"/>
        <v>-14262785.810000001</v>
      </c>
      <c r="H28" s="164">
        <f t="shared" si="5"/>
        <v>-12166539.479999999</v>
      </c>
      <c r="I28" s="164">
        <f t="shared" si="5"/>
        <v>-13079303.58</v>
      </c>
      <c r="J28" s="164">
        <f t="shared" si="5"/>
        <v>-12097345.970000001</v>
      </c>
      <c r="K28" s="164">
        <f t="shared" si="5"/>
        <v>-16819907.430000003</v>
      </c>
      <c r="L28" s="164">
        <f t="shared" si="5"/>
        <v>-15841442.65</v>
      </c>
      <c r="M28" s="164">
        <f t="shared" si="5"/>
        <v>-14886722.83</v>
      </c>
      <c r="N28" s="164">
        <f t="shared" si="5"/>
        <v>-18394036.150000002</v>
      </c>
      <c r="O28" s="164">
        <f t="shared" si="5"/>
        <v>-16436593.869999999</v>
      </c>
      <c r="P28" s="164">
        <f t="shared" si="5"/>
        <v>-18299447.310000002</v>
      </c>
      <c r="Q28" s="37"/>
      <c r="R28" s="37"/>
      <c r="S28" s="37"/>
      <c r="T28" s="37"/>
      <c r="U28" s="37"/>
      <c r="V28" s="37"/>
      <c r="W28" s="37"/>
      <c r="X28" s="37"/>
      <c r="Y28" s="37"/>
      <c r="Z28" s="37"/>
    </row>
    <row r="29" spans="1:26" s="205" customFormat="1" ht="13.5" customHeight="1">
      <c r="A29" s="222" t="s">
        <v>163</v>
      </c>
      <c r="B29" s="223"/>
      <c r="C29" s="224"/>
      <c r="D29" s="225"/>
      <c r="E29" s="226"/>
      <c r="F29" s="226"/>
      <c r="G29" s="226"/>
      <c r="H29" s="226"/>
      <c r="I29" s="226"/>
      <c r="J29" s="226"/>
      <c r="K29" s="226"/>
      <c r="L29" s="226"/>
      <c r="M29" s="226"/>
      <c r="N29" s="226"/>
      <c r="O29" s="226"/>
      <c r="P29" s="226"/>
      <c r="Q29" s="227"/>
      <c r="R29" s="227"/>
      <c r="S29" s="227"/>
      <c r="T29" s="227"/>
      <c r="U29" s="227"/>
      <c r="V29" s="227"/>
      <c r="W29" s="227"/>
      <c r="X29" s="227"/>
      <c r="Y29" s="227"/>
      <c r="Z29" s="227"/>
    </row>
    <row r="30" spans="1:26" ht="12" customHeight="1">
      <c r="A30" s="166" t="s">
        <v>84</v>
      </c>
      <c r="B30" s="166" t="s">
        <v>56</v>
      </c>
      <c r="C30" s="168" t="s">
        <v>57</v>
      </c>
      <c r="D30" s="64" t="s">
        <v>58</v>
      </c>
      <c r="E30" s="164">
        <v>-730166.36</v>
      </c>
      <c r="F30" s="164">
        <v>-730166.36</v>
      </c>
      <c r="G30" s="164">
        <v>-730166.36</v>
      </c>
      <c r="H30" s="164">
        <v>-730166.36</v>
      </c>
      <c r="I30" s="164">
        <v>-730166.36</v>
      </c>
      <c r="J30" s="164">
        <v>-730166.36</v>
      </c>
      <c r="K30" s="164">
        <v>-730166.36</v>
      </c>
      <c r="L30" s="164">
        <v>-730166.36</v>
      </c>
      <c r="M30" s="164">
        <v>-730166.36</v>
      </c>
      <c r="N30" s="164">
        <v>-730166.36</v>
      </c>
      <c r="O30" s="164">
        <v>-730166.36</v>
      </c>
      <c r="P30" s="164">
        <v>-730166.36</v>
      </c>
      <c r="Q30" s="49"/>
      <c r="R30" s="49"/>
      <c r="S30" s="49"/>
      <c r="T30" s="49"/>
      <c r="U30" s="49"/>
      <c r="V30" s="49"/>
      <c r="W30" s="49"/>
      <c r="X30" s="49"/>
      <c r="Y30" s="49"/>
      <c r="Z30" s="49"/>
    </row>
    <row r="31" spans="1:26" ht="12" customHeight="1">
      <c r="A31" s="166" t="s">
        <v>84</v>
      </c>
      <c r="B31" s="166" t="s">
        <v>56</v>
      </c>
      <c r="C31" s="168" t="s">
        <v>60</v>
      </c>
      <c r="D31" s="64" t="s">
        <v>58</v>
      </c>
      <c r="E31" s="164">
        <v>-18698</v>
      </c>
      <c r="F31" s="164">
        <v>-21779</v>
      </c>
      <c r="G31" s="164">
        <v>-20043</v>
      </c>
      <c r="H31" s="164">
        <v>-21643</v>
      </c>
      <c r="I31" s="164">
        <v>-23201</v>
      </c>
      <c r="J31" s="164">
        <v>-25464</v>
      </c>
      <c r="K31" s="164">
        <v>-24132</v>
      </c>
      <c r="L31" s="164">
        <v>-23270</v>
      </c>
      <c r="M31" s="164">
        <v>-25552</v>
      </c>
      <c r="N31" s="164">
        <v>-24038</v>
      </c>
      <c r="O31" s="164">
        <v>-23156</v>
      </c>
      <c r="P31" s="164">
        <v>-22991</v>
      </c>
      <c r="Q31" s="49"/>
      <c r="R31" s="49"/>
      <c r="S31" s="49"/>
      <c r="T31" s="49"/>
      <c r="U31" s="49"/>
      <c r="V31" s="49"/>
      <c r="W31" s="49"/>
      <c r="X31" s="49"/>
      <c r="Y31" s="49"/>
      <c r="Z31" s="49"/>
    </row>
    <row r="32" spans="1:26" ht="12" customHeight="1">
      <c r="A32" s="166" t="s">
        <v>84</v>
      </c>
      <c r="B32" s="166" t="s">
        <v>56</v>
      </c>
      <c r="C32" s="168" t="s">
        <v>60</v>
      </c>
      <c r="D32" s="64" t="s">
        <v>61</v>
      </c>
      <c r="E32" s="164">
        <v>-14558.04</v>
      </c>
      <c r="F32" s="164">
        <v>-14558.04</v>
      </c>
      <c r="G32" s="164">
        <v>-14558.04</v>
      </c>
      <c r="H32" s="164">
        <v>-14558.04</v>
      </c>
      <c r="I32" s="164">
        <v>-14558.04</v>
      </c>
      <c r="J32" s="164">
        <v>-14558.04</v>
      </c>
      <c r="K32" s="164">
        <v>-14558.04</v>
      </c>
      <c r="L32" s="164">
        <v>-14558.04</v>
      </c>
      <c r="M32" s="164">
        <v>-156131.31</v>
      </c>
      <c r="N32" s="164">
        <v>-14558.04</v>
      </c>
      <c r="O32" s="164">
        <v>-14558.04</v>
      </c>
      <c r="P32" s="164">
        <v>-14558.04</v>
      </c>
      <c r="Q32" s="49"/>
      <c r="R32" s="49"/>
      <c r="S32" s="49"/>
      <c r="T32" s="49"/>
      <c r="U32" s="49"/>
      <c r="V32" s="49"/>
      <c r="W32" s="49"/>
      <c r="X32" s="49"/>
      <c r="Y32" s="49"/>
      <c r="Z32" s="49"/>
    </row>
    <row r="33" spans="1:26" ht="12" customHeight="1">
      <c r="A33" s="166" t="s">
        <v>84</v>
      </c>
      <c r="B33" s="166" t="s">
        <v>56</v>
      </c>
      <c r="C33" s="168" t="s">
        <v>60</v>
      </c>
      <c r="D33" s="65" t="s">
        <v>62</v>
      </c>
      <c r="E33" s="164">
        <v>-56091.39</v>
      </c>
      <c r="F33" s="164">
        <v>-56091.39</v>
      </c>
      <c r="G33" s="164">
        <v>-56091.39</v>
      </c>
      <c r="H33" s="164">
        <v>-56091.39</v>
      </c>
      <c r="I33" s="164">
        <v>-56091.39</v>
      </c>
      <c r="J33" s="164">
        <v>-56091.39</v>
      </c>
      <c r="K33" s="164">
        <v>-56091.39</v>
      </c>
      <c r="L33" s="164">
        <v>-56091.39</v>
      </c>
      <c r="M33" s="164">
        <v>-56091.39</v>
      </c>
      <c r="N33" s="164">
        <v>-56091.39</v>
      </c>
      <c r="O33" s="164">
        <v>-56091.39</v>
      </c>
      <c r="P33" s="164">
        <v>-56091.39</v>
      </c>
      <c r="Q33" s="49"/>
      <c r="R33" s="49"/>
      <c r="S33" s="49"/>
      <c r="T33" s="49"/>
      <c r="U33" s="49"/>
      <c r="V33" s="49"/>
      <c r="W33" s="49"/>
      <c r="X33" s="49"/>
      <c r="Y33" s="49"/>
      <c r="Z33" s="49"/>
    </row>
    <row r="34" spans="1:26" ht="12" customHeight="1">
      <c r="A34" s="166" t="s">
        <v>84</v>
      </c>
      <c r="B34" s="206" t="s">
        <v>56</v>
      </c>
      <c r="C34" s="167" t="s">
        <v>64</v>
      </c>
      <c r="D34" s="64" t="s">
        <v>58</v>
      </c>
      <c r="E34" s="164">
        <v>-16666943.529999999</v>
      </c>
      <c r="F34" s="164">
        <v>-16258088.529999999</v>
      </c>
      <c r="G34" s="164">
        <v>-17958215.530000001</v>
      </c>
      <c r="H34" s="164">
        <v>-15571267.15</v>
      </c>
      <c r="I34" s="164">
        <v>-17374107.149999999</v>
      </c>
      <c r="J34" s="164">
        <v>-17918762.149999999</v>
      </c>
      <c r="K34" s="164">
        <v>-19614025.149999999</v>
      </c>
      <c r="L34" s="164">
        <v>-19072840.149999999</v>
      </c>
      <c r="M34" s="164">
        <v>-19773598.420000002</v>
      </c>
      <c r="N34" s="164">
        <v>-16300307.15</v>
      </c>
      <c r="O34" s="164">
        <v>-17748636.149999999</v>
      </c>
      <c r="P34" s="164">
        <v>-18417115.149999999</v>
      </c>
      <c r="Q34" s="49"/>
      <c r="R34" s="49"/>
      <c r="S34" s="49"/>
      <c r="T34" s="49"/>
      <c r="U34" s="49"/>
      <c r="V34" s="49"/>
      <c r="W34" s="49"/>
      <c r="X34" s="49"/>
      <c r="Y34" s="49"/>
      <c r="Z34" s="49"/>
    </row>
    <row r="35" spans="1:26" ht="12" customHeight="1">
      <c r="A35" s="166" t="s">
        <v>84</v>
      </c>
      <c r="B35" s="166" t="s">
        <v>65</v>
      </c>
      <c r="C35" s="168" t="s">
        <v>66</v>
      </c>
      <c r="D35" s="64" t="s">
        <v>61</v>
      </c>
      <c r="E35" s="164">
        <v>1050</v>
      </c>
      <c r="F35" s="164">
        <v>1050</v>
      </c>
      <c r="G35" s="164">
        <v>1050</v>
      </c>
      <c r="H35" s="164">
        <v>1050</v>
      </c>
      <c r="I35" s="164">
        <v>1050</v>
      </c>
      <c r="J35" s="164">
        <v>1050</v>
      </c>
      <c r="K35" s="164">
        <v>1050</v>
      </c>
      <c r="L35" s="164">
        <v>1050</v>
      </c>
      <c r="M35" s="164">
        <v>1050</v>
      </c>
      <c r="N35" s="164">
        <v>1050</v>
      </c>
      <c r="O35" s="164">
        <v>1050</v>
      </c>
      <c r="P35" s="164">
        <v>1050</v>
      </c>
      <c r="Q35" s="49"/>
      <c r="R35" s="49"/>
      <c r="S35" s="49"/>
      <c r="T35" s="49"/>
      <c r="U35" s="49"/>
      <c r="V35" s="49"/>
      <c r="W35" s="49"/>
      <c r="X35" s="49"/>
      <c r="Y35" s="49"/>
      <c r="Z35" s="49"/>
    </row>
    <row r="36" spans="1:26" ht="12" customHeight="1">
      <c r="A36" s="166" t="s">
        <v>84</v>
      </c>
      <c r="B36" s="166" t="s">
        <v>65</v>
      </c>
      <c r="C36" s="168" t="s">
        <v>66</v>
      </c>
      <c r="D36" s="64" t="s">
        <v>62</v>
      </c>
      <c r="E36" s="164">
        <v>149864</v>
      </c>
      <c r="F36" s="164">
        <v>149864</v>
      </c>
      <c r="G36" s="164">
        <v>149864</v>
      </c>
      <c r="H36" s="164">
        <v>144532</v>
      </c>
      <c r="I36" s="164">
        <v>144532</v>
      </c>
      <c r="J36" s="164">
        <v>340080</v>
      </c>
      <c r="K36" s="164">
        <v>340080</v>
      </c>
      <c r="L36" s="164">
        <v>527130</v>
      </c>
      <c r="M36" s="164">
        <v>527130</v>
      </c>
      <c r="N36" s="164">
        <v>144532</v>
      </c>
      <c r="O36" s="164">
        <v>144532</v>
      </c>
      <c r="P36" s="164">
        <v>144532</v>
      </c>
      <c r="Q36" s="49"/>
      <c r="R36" s="49"/>
      <c r="S36" s="49"/>
      <c r="T36" s="49"/>
      <c r="U36" s="49"/>
      <c r="V36" s="49"/>
      <c r="W36" s="49"/>
      <c r="X36" s="49"/>
      <c r="Y36" s="49"/>
      <c r="Z36" s="49"/>
    </row>
    <row r="37" spans="1:26" ht="12" customHeight="1">
      <c r="A37" s="166" t="s">
        <v>84</v>
      </c>
      <c r="B37" s="166" t="s">
        <v>28</v>
      </c>
      <c r="C37" s="167" t="s">
        <v>67</v>
      </c>
      <c r="D37" s="64" t="s">
        <v>62</v>
      </c>
      <c r="E37" s="164">
        <v>4850</v>
      </c>
      <c r="F37" s="164">
        <v>9600</v>
      </c>
      <c r="G37" s="164">
        <v>4850</v>
      </c>
      <c r="H37" s="164">
        <v>4850</v>
      </c>
      <c r="I37" s="164">
        <v>4850</v>
      </c>
      <c r="J37" s="164">
        <v>4850</v>
      </c>
      <c r="K37" s="164">
        <v>4850</v>
      </c>
      <c r="L37" s="164">
        <v>9600</v>
      </c>
      <c r="M37" s="164">
        <v>4850</v>
      </c>
      <c r="N37" s="164">
        <v>4850</v>
      </c>
      <c r="O37" s="164">
        <v>4850</v>
      </c>
      <c r="P37" s="164">
        <v>4850</v>
      </c>
      <c r="Q37" s="49"/>
      <c r="R37" s="49"/>
      <c r="S37" s="49"/>
      <c r="T37" s="49"/>
      <c r="U37" s="49"/>
      <c r="V37" s="49"/>
      <c r="W37" s="49"/>
      <c r="X37" s="49"/>
      <c r="Y37" s="49"/>
      <c r="Z37" s="49"/>
    </row>
    <row r="38" spans="1:26" s="242" customFormat="1" ht="16.5" customHeight="1">
      <c r="A38" s="234" t="s">
        <v>84</v>
      </c>
      <c r="B38" s="234" t="s">
        <v>59</v>
      </c>
      <c r="C38" s="235" t="s">
        <v>59</v>
      </c>
      <c r="D38" s="236" t="s">
        <v>59</v>
      </c>
      <c r="E38" s="240"/>
      <c r="F38" s="240"/>
      <c r="G38" s="240"/>
      <c r="H38" s="240"/>
      <c r="I38" s="240"/>
      <c r="J38" s="240"/>
      <c r="K38" s="240"/>
      <c r="L38" s="240"/>
      <c r="M38" s="240"/>
      <c r="N38" s="240"/>
      <c r="O38" s="240"/>
      <c r="P38" s="240"/>
      <c r="Q38" s="241"/>
      <c r="R38" s="241"/>
      <c r="S38" s="241"/>
      <c r="T38" s="241"/>
      <c r="U38" s="241"/>
      <c r="V38" s="241"/>
      <c r="W38" s="241"/>
      <c r="X38" s="241"/>
      <c r="Y38" s="241"/>
      <c r="Z38" s="241"/>
    </row>
    <row r="39" spans="1:26" ht="12" customHeight="1">
      <c r="A39" s="166" t="s">
        <v>84</v>
      </c>
      <c r="B39" s="166"/>
      <c r="C39" s="167" t="s">
        <v>59</v>
      </c>
      <c r="D39" s="64" t="s">
        <v>58</v>
      </c>
      <c r="E39" s="164">
        <f>SUMIFS(E$30:E$37,$D$30:$D$37,$D39)</f>
        <v>-17415807.890000001</v>
      </c>
      <c r="F39" s="164">
        <v>-17010033.890000001</v>
      </c>
      <c r="G39" s="164">
        <v>-18708424.890000001</v>
      </c>
      <c r="H39" s="164">
        <v>-16323076.51</v>
      </c>
      <c r="I39" s="164">
        <v>-18127474.509999998</v>
      </c>
      <c r="J39" s="164">
        <v>-18674392.509999998</v>
      </c>
      <c r="K39" s="164">
        <v>-20368323.509999998</v>
      </c>
      <c r="L39" s="164">
        <v>-19826276.509999998</v>
      </c>
      <c r="M39" s="164">
        <v>-20529316.780000001</v>
      </c>
      <c r="N39" s="164">
        <v>-17054511.510000002</v>
      </c>
      <c r="O39" s="164">
        <v>-18501958.509999998</v>
      </c>
      <c r="P39" s="164">
        <v>-19170272.509999998</v>
      </c>
      <c r="Q39" s="54"/>
      <c r="R39" s="54"/>
      <c r="S39" s="54"/>
      <c r="T39" s="54"/>
      <c r="U39" s="54"/>
      <c r="V39" s="54"/>
      <c r="W39" s="54"/>
      <c r="X39" s="54"/>
      <c r="Y39" s="54"/>
      <c r="Z39" s="54"/>
    </row>
    <row r="40" spans="1:26" ht="12" customHeight="1">
      <c r="A40" s="166" t="s">
        <v>84</v>
      </c>
      <c r="B40" s="166"/>
      <c r="C40" s="167" t="s">
        <v>59</v>
      </c>
      <c r="D40" s="64" t="s">
        <v>61</v>
      </c>
      <c r="E40" s="164">
        <f>SUMIFS(E$30:E$37,$D$30:$D$37,$D40)</f>
        <v>-13508.04</v>
      </c>
      <c r="F40" s="164">
        <v>-13508.04</v>
      </c>
      <c r="G40" s="164">
        <v>-13508.04</v>
      </c>
      <c r="H40" s="164">
        <v>-13508.04</v>
      </c>
      <c r="I40" s="164">
        <v>-13508.04</v>
      </c>
      <c r="J40" s="164">
        <v>-13508.04</v>
      </c>
      <c r="K40" s="164">
        <v>-13508.04</v>
      </c>
      <c r="L40" s="164">
        <v>-13508.04</v>
      </c>
      <c r="M40" s="164">
        <v>-155081.31</v>
      </c>
      <c r="N40" s="164">
        <v>-13508.04</v>
      </c>
      <c r="O40" s="164">
        <v>-13508.04</v>
      </c>
      <c r="P40" s="164">
        <v>-13508.04</v>
      </c>
      <c r="Q40" s="54"/>
      <c r="R40" s="54"/>
      <c r="S40" s="54"/>
      <c r="T40" s="54"/>
      <c r="U40" s="54"/>
      <c r="V40" s="54"/>
      <c r="W40" s="54"/>
      <c r="X40" s="54"/>
      <c r="Y40" s="54"/>
      <c r="Z40" s="54"/>
    </row>
    <row r="41" spans="1:26" ht="12" customHeight="1">
      <c r="A41" s="166" t="s">
        <v>84</v>
      </c>
      <c r="B41" s="166"/>
      <c r="C41" s="167" t="s">
        <v>59</v>
      </c>
      <c r="D41" s="64" t="s">
        <v>62</v>
      </c>
      <c r="E41" s="164">
        <f>SUMIFS(E$30:E$37,$D$30:$D$37,$D41)</f>
        <v>98622.61</v>
      </c>
      <c r="F41" s="164">
        <v>103372.61</v>
      </c>
      <c r="G41" s="164">
        <v>98622.61</v>
      </c>
      <c r="H41" s="164">
        <v>93290.61</v>
      </c>
      <c r="I41" s="164">
        <v>93290.61</v>
      </c>
      <c r="J41" s="164">
        <v>288838.61</v>
      </c>
      <c r="K41" s="164">
        <v>288838.61</v>
      </c>
      <c r="L41" s="164">
        <v>480638.61</v>
      </c>
      <c r="M41" s="164">
        <v>475888.61</v>
      </c>
      <c r="N41" s="164">
        <v>93290.61</v>
      </c>
      <c r="O41" s="164">
        <v>93290.61</v>
      </c>
      <c r="P41" s="164">
        <v>93290.61</v>
      </c>
      <c r="Q41" s="54"/>
      <c r="R41" s="54"/>
      <c r="S41" s="54"/>
      <c r="T41" s="54"/>
      <c r="U41" s="54"/>
      <c r="V41" s="54"/>
      <c r="W41" s="54"/>
      <c r="X41" s="54"/>
      <c r="Y41" s="54"/>
      <c r="Z41" s="54"/>
    </row>
    <row r="42" spans="1:26" ht="12" customHeight="1">
      <c r="A42" s="166" t="s">
        <v>84</v>
      </c>
      <c r="B42" s="166"/>
      <c r="C42" s="206" t="s">
        <v>59</v>
      </c>
      <c r="D42" s="64" t="s">
        <v>59</v>
      </c>
      <c r="E42" s="164">
        <f>SUM(E39:E41)</f>
        <v>-17330693.32</v>
      </c>
      <c r="F42" s="164">
        <f t="shared" ref="F42:P42" si="6">SUM(F39:F41)</f>
        <v>-16920169.32</v>
      </c>
      <c r="G42" s="164">
        <f t="shared" si="6"/>
        <v>-18623310.32</v>
      </c>
      <c r="H42" s="164">
        <f t="shared" si="6"/>
        <v>-16243293.939999999</v>
      </c>
      <c r="I42" s="164">
        <f t="shared" si="6"/>
        <v>-18047691.939999998</v>
      </c>
      <c r="J42" s="164">
        <f t="shared" si="6"/>
        <v>-18399061.939999998</v>
      </c>
      <c r="K42" s="164">
        <f t="shared" si="6"/>
        <v>-20092992.939999998</v>
      </c>
      <c r="L42" s="164">
        <f t="shared" si="6"/>
        <v>-19359145.939999998</v>
      </c>
      <c r="M42" s="164">
        <f t="shared" si="6"/>
        <v>-20208509.48</v>
      </c>
      <c r="N42" s="164">
        <f t="shared" si="6"/>
        <v>-16974728.940000001</v>
      </c>
      <c r="O42" s="164">
        <f t="shared" si="6"/>
        <v>-18422175.939999998</v>
      </c>
      <c r="P42" s="164">
        <f t="shared" si="6"/>
        <v>-19090489.939999998</v>
      </c>
      <c r="Q42" s="37"/>
      <c r="R42" s="37"/>
      <c r="S42" s="37"/>
      <c r="T42" s="37"/>
      <c r="U42" s="37"/>
      <c r="V42" s="37"/>
      <c r="W42" s="37"/>
      <c r="X42" s="37"/>
      <c r="Y42" s="37"/>
      <c r="Z42" s="37"/>
    </row>
    <row r="43" spans="1:26" s="90" customFormat="1" ht="27" customHeight="1">
      <c r="A43" s="228" t="s">
        <v>164</v>
      </c>
      <c r="B43" s="208"/>
      <c r="C43" s="210"/>
      <c r="D43" s="211"/>
      <c r="E43" s="207"/>
      <c r="F43" s="207"/>
      <c r="G43" s="207"/>
      <c r="H43" s="207"/>
      <c r="I43" s="207"/>
      <c r="J43" s="207"/>
      <c r="K43" s="207"/>
      <c r="L43" s="207"/>
      <c r="M43" s="207"/>
      <c r="N43" s="207"/>
      <c r="O43" s="207"/>
      <c r="P43" s="207"/>
      <c r="Q43" s="209"/>
      <c r="R43" s="209"/>
      <c r="S43" s="209"/>
      <c r="T43" s="209"/>
      <c r="U43" s="209"/>
      <c r="V43" s="209"/>
      <c r="W43" s="209"/>
      <c r="X43" s="209"/>
      <c r="Y43" s="209"/>
      <c r="Z43" s="209"/>
    </row>
    <row r="44" spans="1:26" ht="12" customHeight="1">
      <c r="A44" s="169" t="s">
        <v>165</v>
      </c>
      <c r="B44" s="165" t="s">
        <v>56</v>
      </c>
      <c r="C44" s="168" t="s">
        <v>57</v>
      </c>
      <c r="D44" s="64" t="s">
        <v>58</v>
      </c>
      <c r="E44" s="164">
        <f t="shared" ref="E44:P54" si="7">SUMIFS(E$6:E$42,$D$6:$D$42,$D44,$C$6:$C$42,$C44)</f>
        <v>-730166.36</v>
      </c>
      <c r="F44" s="164">
        <f t="shared" si="7"/>
        <v>-730166.36</v>
      </c>
      <c r="G44" s="164">
        <f t="shared" si="7"/>
        <v>-730166.36</v>
      </c>
      <c r="H44" s="164">
        <f t="shared" si="7"/>
        <v>-730166.36</v>
      </c>
      <c r="I44" s="164">
        <f t="shared" si="7"/>
        <v>-730166.36</v>
      </c>
      <c r="J44" s="164">
        <f t="shared" si="7"/>
        <v>-730166.36</v>
      </c>
      <c r="K44" s="164">
        <f t="shared" si="7"/>
        <v>-730166.36</v>
      </c>
      <c r="L44" s="164">
        <f t="shared" si="7"/>
        <v>-730166.36</v>
      </c>
      <c r="M44" s="164">
        <f t="shared" si="7"/>
        <v>-730166.36</v>
      </c>
      <c r="N44" s="164">
        <f t="shared" si="7"/>
        <v>-730166.36</v>
      </c>
      <c r="O44" s="164">
        <f t="shared" si="7"/>
        <v>-730166.36</v>
      </c>
      <c r="P44" s="164">
        <f t="shared" si="7"/>
        <v>-730166.36</v>
      </c>
      <c r="Q44" s="1"/>
      <c r="R44" s="1"/>
      <c r="S44" s="1"/>
      <c r="T44" s="1"/>
      <c r="U44" s="1"/>
      <c r="V44" s="1"/>
      <c r="W44" s="1"/>
      <c r="X44" s="1"/>
      <c r="Y44" s="1"/>
      <c r="Z44" s="1"/>
    </row>
    <row r="45" spans="1:26" ht="12" customHeight="1">
      <c r="A45" s="169" t="s">
        <v>165</v>
      </c>
      <c r="B45" s="165" t="s">
        <v>56</v>
      </c>
      <c r="C45" s="168" t="s">
        <v>64</v>
      </c>
      <c r="D45" s="64" t="s">
        <v>58</v>
      </c>
      <c r="E45" s="164">
        <f t="shared" si="7"/>
        <v>-40667768.119999997</v>
      </c>
      <c r="F45" s="164">
        <f t="shared" si="7"/>
        <v>-36410081.880000003</v>
      </c>
      <c r="G45" s="164">
        <f t="shared" si="7"/>
        <v>-38062487.909999996</v>
      </c>
      <c r="H45" s="164">
        <f t="shared" si="7"/>
        <v>-32036906.73</v>
      </c>
      <c r="I45" s="164">
        <f t="shared" si="7"/>
        <v>-37598700.829999998</v>
      </c>
      <c r="J45" s="164">
        <f t="shared" si="7"/>
        <v>-38136663.219999999</v>
      </c>
      <c r="K45" s="164">
        <f t="shared" si="7"/>
        <v>-47017962.68</v>
      </c>
      <c r="L45" s="164">
        <f t="shared" si="7"/>
        <v>-44981710.899999999</v>
      </c>
      <c r="M45" s="164">
        <f t="shared" si="7"/>
        <v>-45435104.350000001</v>
      </c>
      <c r="N45" s="164">
        <f t="shared" si="7"/>
        <v>-42682973.399999999</v>
      </c>
      <c r="O45" s="164">
        <f t="shared" si="7"/>
        <v>-41546626.119999997</v>
      </c>
      <c r="P45" s="164">
        <f t="shared" si="7"/>
        <v>-44627029.560000002</v>
      </c>
      <c r="Q45" s="1"/>
      <c r="R45" s="1"/>
      <c r="S45" s="1"/>
      <c r="T45" s="1"/>
      <c r="U45" s="1"/>
      <c r="V45" s="1"/>
      <c r="W45" s="1"/>
      <c r="X45" s="1"/>
      <c r="Y45" s="1"/>
      <c r="Z45" s="1"/>
    </row>
    <row r="46" spans="1:26" ht="12" customHeight="1">
      <c r="A46" s="169" t="s">
        <v>165</v>
      </c>
      <c r="B46" s="165" t="s">
        <v>56</v>
      </c>
      <c r="C46" s="168" t="s">
        <v>60</v>
      </c>
      <c r="D46" s="64" t="s">
        <v>58</v>
      </c>
      <c r="E46" s="164">
        <f t="shared" si="7"/>
        <v>-52333</v>
      </c>
      <c r="F46" s="164">
        <f t="shared" si="7"/>
        <v>-55414</v>
      </c>
      <c r="G46" s="164">
        <f t="shared" si="7"/>
        <v>-52593</v>
      </c>
      <c r="H46" s="164">
        <f t="shared" si="7"/>
        <v>-55278</v>
      </c>
      <c r="I46" s="164">
        <f t="shared" si="7"/>
        <v>-55751</v>
      </c>
      <c r="J46" s="164">
        <f t="shared" si="7"/>
        <v>-59099</v>
      </c>
      <c r="K46" s="164">
        <f t="shared" si="7"/>
        <v>-57767</v>
      </c>
      <c r="L46" s="164">
        <f t="shared" si="7"/>
        <v>-53650</v>
      </c>
      <c r="M46" s="164">
        <f t="shared" si="7"/>
        <v>-59187</v>
      </c>
      <c r="N46" s="164">
        <f t="shared" si="7"/>
        <v>-56588</v>
      </c>
      <c r="O46" s="164">
        <f t="shared" si="7"/>
        <v>-56791</v>
      </c>
      <c r="P46" s="164">
        <f t="shared" si="7"/>
        <v>-55541</v>
      </c>
      <c r="Q46" s="1"/>
      <c r="R46" s="1"/>
      <c r="S46" s="1"/>
      <c r="T46" s="1"/>
      <c r="U46" s="1"/>
      <c r="V46" s="1"/>
      <c r="W46" s="1"/>
      <c r="X46" s="1"/>
      <c r="Y46" s="1"/>
      <c r="Z46" s="1"/>
    </row>
    <row r="47" spans="1:26" ht="12" customHeight="1">
      <c r="A47" s="169" t="s">
        <v>165</v>
      </c>
      <c r="B47" s="165" t="s">
        <v>56</v>
      </c>
      <c r="C47" s="168" t="s">
        <v>60</v>
      </c>
      <c r="D47" s="64" t="s">
        <v>61</v>
      </c>
      <c r="E47" s="164">
        <f t="shared" si="7"/>
        <v>-14558.04</v>
      </c>
      <c r="F47" s="164">
        <f t="shared" si="7"/>
        <v>-14558.04</v>
      </c>
      <c r="G47" s="164">
        <f t="shared" si="7"/>
        <v>-14558.04</v>
      </c>
      <c r="H47" s="164">
        <f t="shared" si="7"/>
        <v>-14558.04</v>
      </c>
      <c r="I47" s="164">
        <f t="shared" si="7"/>
        <v>-14558.04</v>
      </c>
      <c r="J47" s="164">
        <f t="shared" si="7"/>
        <v>-14558.04</v>
      </c>
      <c r="K47" s="164">
        <f t="shared" si="7"/>
        <v>-14558.04</v>
      </c>
      <c r="L47" s="164">
        <f t="shared" si="7"/>
        <v>-14558.04</v>
      </c>
      <c r="M47" s="164">
        <f t="shared" si="7"/>
        <v>-156131.31</v>
      </c>
      <c r="N47" s="164">
        <f t="shared" si="7"/>
        <v>-14558.04</v>
      </c>
      <c r="O47" s="164">
        <f t="shared" si="7"/>
        <v>-14558.04</v>
      </c>
      <c r="P47" s="164">
        <f t="shared" si="7"/>
        <v>-14558.04</v>
      </c>
      <c r="Q47" s="1"/>
      <c r="R47" s="1"/>
      <c r="S47" s="1"/>
      <c r="T47" s="1"/>
      <c r="U47" s="1"/>
      <c r="V47" s="1"/>
      <c r="W47" s="1"/>
      <c r="X47" s="1"/>
      <c r="Y47" s="1"/>
      <c r="Z47" s="1"/>
    </row>
    <row r="48" spans="1:26" ht="12" customHeight="1">
      <c r="A48" s="169" t="s">
        <v>165</v>
      </c>
      <c r="B48" s="165" t="s">
        <v>56</v>
      </c>
      <c r="C48" s="168" t="s">
        <v>60</v>
      </c>
      <c r="D48" s="65" t="s">
        <v>62</v>
      </c>
      <c r="E48" s="164">
        <f t="shared" si="7"/>
        <v>-58191.39</v>
      </c>
      <c r="F48" s="164">
        <f t="shared" si="7"/>
        <v>-58191.39</v>
      </c>
      <c r="G48" s="164">
        <f t="shared" si="7"/>
        <v>-58191.39</v>
      </c>
      <c r="H48" s="164">
        <f t="shared" si="7"/>
        <v>-58191.39</v>
      </c>
      <c r="I48" s="164">
        <f t="shared" si="7"/>
        <v>-58191.39</v>
      </c>
      <c r="J48" s="164">
        <f t="shared" si="7"/>
        <v>-58191.39</v>
      </c>
      <c r="K48" s="164">
        <f t="shared" si="7"/>
        <v>-58191.39</v>
      </c>
      <c r="L48" s="164">
        <f t="shared" si="7"/>
        <v>-58191.39</v>
      </c>
      <c r="M48" s="164">
        <f t="shared" si="7"/>
        <v>-58191.39</v>
      </c>
      <c r="N48" s="164">
        <f t="shared" si="7"/>
        <v>-58191.39</v>
      </c>
      <c r="O48" s="164">
        <f t="shared" si="7"/>
        <v>-58191.39</v>
      </c>
      <c r="P48" s="164">
        <f t="shared" si="7"/>
        <v>-58191.39</v>
      </c>
      <c r="Q48" s="1"/>
      <c r="R48" s="1"/>
      <c r="S48" s="1"/>
      <c r="T48" s="1"/>
      <c r="U48" s="1"/>
      <c r="V48" s="1"/>
      <c r="W48" s="1"/>
      <c r="X48" s="1"/>
      <c r="Y48" s="1"/>
      <c r="Z48" s="1"/>
    </row>
    <row r="49" spans="1:26" ht="12" customHeight="1">
      <c r="A49" s="169" t="s">
        <v>165</v>
      </c>
      <c r="B49" s="165" t="s">
        <v>56</v>
      </c>
      <c r="C49" s="168" t="s">
        <v>60</v>
      </c>
      <c r="D49" s="64" t="s">
        <v>63</v>
      </c>
      <c r="E49" s="164">
        <f t="shared" si="7"/>
        <v>-716666.67</v>
      </c>
      <c r="F49" s="164">
        <f t="shared" si="7"/>
        <v>-716666.67</v>
      </c>
      <c r="G49" s="164">
        <f t="shared" si="7"/>
        <v>-716666.67</v>
      </c>
      <c r="H49" s="164">
        <f t="shared" si="7"/>
        <v>-716666.67</v>
      </c>
      <c r="I49" s="164">
        <f t="shared" si="7"/>
        <v>-716666.67</v>
      </c>
      <c r="J49" s="164">
        <f t="shared" si="7"/>
        <v>-716666.67</v>
      </c>
      <c r="K49" s="164">
        <f t="shared" si="7"/>
        <v>-716666.67</v>
      </c>
      <c r="L49" s="164">
        <f t="shared" si="7"/>
        <v>-716666.67</v>
      </c>
      <c r="M49" s="164">
        <f t="shared" si="7"/>
        <v>-716666.67</v>
      </c>
      <c r="N49" s="164">
        <f t="shared" si="7"/>
        <v>-716666.67</v>
      </c>
      <c r="O49" s="164">
        <f t="shared" si="7"/>
        <v>-716666.67</v>
      </c>
      <c r="P49" s="164">
        <f t="shared" si="7"/>
        <v>-716666.67</v>
      </c>
      <c r="Q49" s="1"/>
      <c r="R49" s="1"/>
      <c r="S49" s="1"/>
      <c r="T49" s="1"/>
      <c r="U49" s="1"/>
      <c r="V49" s="1"/>
      <c r="W49" s="1"/>
      <c r="X49" s="1"/>
      <c r="Y49" s="1"/>
      <c r="Z49" s="1"/>
    </row>
    <row r="50" spans="1:26" ht="12" customHeight="1">
      <c r="A50" s="169" t="s">
        <v>165</v>
      </c>
      <c r="B50" s="165" t="s">
        <v>65</v>
      </c>
      <c r="C50" s="167" t="s">
        <v>66</v>
      </c>
      <c r="D50" s="64" t="s">
        <v>62</v>
      </c>
      <c r="E50" s="164">
        <f t="shared" si="7"/>
        <v>349845</v>
      </c>
      <c r="F50" s="164">
        <f t="shared" si="7"/>
        <v>349845</v>
      </c>
      <c r="G50" s="164">
        <f t="shared" si="7"/>
        <v>349845</v>
      </c>
      <c r="H50" s="164">
        <f t="shared" si="7"/>
        <v>341420</v>
      </c>
      <c r="I50" s="164">
        <f t="shared" si="7"/>
        <v>341420</v>
      </c>
      <c r="J50" s="164">
        <f t="shared" si="7"/>
        <v>762757</v>
      </c>
      <c r="K50" s="164">
        <f t="shared" si="7"/>
        <v>762757</v>
      </c>
      <c r="L50" s="164">
        <f t="shared" si="7"/>
        <v>1165778</v>
      </c>
      <c r="M50" s="164">
        <f t="shared" si="7"/>
        <v>1165778</v>
      </c>
      <c r="N50" s="164">
        <f t="shared" si="7"/>
        <v>341420</v>
      </c>
      <c r="O50" s="164">
        <f t="shared" si="7"/>
        <v>341420</v>
      </c>
      <c r="P50" s="164">
        <f t="shared" si="7"/>
        <v>341420</v>
      </c>
      <c r="Q50" s="1"/>
      <c r="R50" s="1"/>
      <c r="S50" s="1"/>
      <c r="T50" s="1"/>
      <c r="U50" s="1"/>
      <c r="V50" s="1"/>
      <c r="W50" s="1"/>
      <c r="X50" s="1"/>
      <c r="Y50" s="1"/>
      <c r="Z50" s="1"/>
    </row>
    <row r="51" spans="1:26" ht="12" customHeight="1">
      <c r="A51" s="169" t="s">
        <v>165</v>
      </c>
      <c r="B51" s="165" t="s">
        <v>65</v>
      </c>
      <c r="C51" s="167" t="s">
        <v>66</v>
      </c>
      <c r="D51" s="64" t="s">
        <v>61</v>
      </c>
      <c r="E51" s="164">
        <f t="shared" si="7"/>
        <v>1050</v>
      </c>
      <c r="F51" s="164">
        <f t="shared" si="7"/>
        <v>1050</v>
      </c>
      <c r="G51" s="164">
        <f t="shared" si="7"/>
        <v>1050</v>
      </c>
      <c r="H51" s="164">
        <f t="shared" si="7"/>
        <v>1050</v>
      </c>
      <c r="I51" s="164">
        <f t="shared" si="7"/>
        <v>1050</v>
      </c>
      <c r="J51" s="164">
        <f t="shared" si="7"/>
        <v>1050</v>
      </c>
      <c r="K51" s="164">
        <f t="shared" si="7"/>
        <v>1050</v>
      </c>
      <c r="L51" s="164">
        <f t="shared" si="7"/>
        <v>1050</v>
      </c>
      <c r="M51" s="164">
        <f t="shared" si="7"/>
        <v>1050</v>
      </c>
      <c r="N51" s="164">
        <f t="shared" si="7"/>
        <v>1050</v>
      </c>
      <c r="O51" s="164">
        <f t="shared" si="7"/>
        <v>1050</v>
      </c>
      <c r="P51" s="164">
        <f t="shared" si="7"/>
        <v>1050</v>
      </c>
      <c r="Q51" s="1"/>
      <c r="R51" s="1"/>
      <c r="S51" s="1"/>
      <c r="T51" s="1"/>
      <c r="U51" s="1"/>
      <c r="V51" s="1"/>
      <c r="W51" s="1"/>
      <c r="X51" s="1"/>
      <c r="Y51" s="1"/>
      <c r="Z51" s="1"/>
    </row>
    <row r="52" spans="1:26" ht="12" customHeight="1">
      <c r="A52" s="169" t="s">
        <v>165</v>
      </c>
      <c r="B52" s="165" t="s">
        <v>28</v>
      </c>
      <c r="C52" s="167" t="s">
        <v>67</v>
      </c>
      <c r="D52" s="64" t="s">
        <v>62</v>
      </c>
      <c r="E52" s="164">
        <f t="shared" si="7"/>
        <v>483912.54</v>
      </c>
      <c r="F52" s="164">
        <f t="shared" si="7"/>
        <v>488662.54</v>
      </c>
      <c r="G52" s="164">
        <f t="shared" si="7"/>
        <v>483836.27999999997</v>
      </c>
      <c r="H52" s="164">
        <f t="shared" si="7"/>
        <v>483912.54</v>
      </c>
      <c r="I52" s="164">
        <f t="shared" si="7"/>
        <v>483912.54</v>
      </c>
      <c r="J52" s="164">
        <f t="shared" si="7"/>
        <v>483912.54</v>
      </c>
      <c r="K52" s="164">
        <f t="shared" si="7"/>
        <v>483912.54</v>
      </c>
      <c r="L52" s="164">
        <f t="shared" si="7"/>
        <v>488662.54</v>
      </c>
      <c r="M52" s="164">
        <f t="shared" si="7"/>
        <v>483912.54</v>
      </c>
      <c r="N52" s="164">
        <f t="shared" si="7"/>
        <v>483912.54</v>
      </c>
      <c r="O52" s="164">
        <f t="shared" si="7"/>
        <v>483912.54</v>
      </c>
      <c r="P52" s="164">
        <f t="shared" si="7"/>
        <v>483912.54</v>
      </c>
      <c r="Q52" s="1"/>
      <c r="R52" s="1"/>
      <c r="S52" s="1"/>
      <c r="T52" s="1"/>
      <c r="U52" s="1"/>
      <c r="V52" s="1"/>
      <c r="W52" s="1"/>
      <c r="X52" s="1"/>
      <c r="Y52" s="1"/>
      <c r="Z52" s="1"/>
    </row>
    <row r="53" spans="1:26" ht="12" customHeight="1">
      <c r="A53" s="169" t="s">
        <v>165</v>
      </c>
      <c r="B53" s="165" t="s">
        <v>28</v>
      </c>
      <c r="C53" s="167" t="s">
        <v>67</v>
      </c>
      <c r="D53" s="64" t="s">
        <v>68</v>
      </c>
      <c r="E53" s="164">
        <f t="shared" si="7"/>
        <v>0</v>
      </c>
      <c r="F53" s="164">
        <f t="shared" si="7"/>
        <v>0</v>
      </c>
      <c r="G53" s="164">
        <f t="shared" si="7"/>
        <v>0</v>
      </c>
      <c r="H53" s="164">
        <f t="shared" si="7"/>
        <v>0</v>
      </c>
      <c r="I53" s="164">
        <f t="shared" si="7"/>
        <v>0</v>
      </c>
      <c r="J53" s="164">
        <f t="shared" si="7"/>
        <v>0</v>
      </c>
      <c r="K53" s="164">
        <f t="shared" si="7"/>
        <v>0</v>
      </c>
      <c r="L53" s="164">
        <f t="shared" si="7"/>
        <v>0</v>
      </c>
      <c r="M53" s="164">
        <f t="shared" si="7"/>
        <v>0</v>
      </c>
      <c r="N53" s="164">
        <f t="shared" si="7"/>
        <v>0</v>
      </c>
      <c r="O53" s="164">
        <f t="shared" si="7"/>
        <v>0</v>
      </c>
      <c r="P53" s="164">
        <f t="shared" si="7"/>
        <v>0</v>
      </c>
      <c r="Q53" s="1"/>
      <c r="R53" s="1"/>
      <c r="S53" s="1"/>
      <c r="T53" s="1"/>
      <c r="U53" s="1"/>
      <c r="V53" s="1"/>
      <c r="W53" s="1"/>
      <c r="X53" s="1"/>
      <c r="Y53" s="1"/>
      <c r="Z53" s="1"/>
    </row>
    <row r="54" spans="1:26" ht="12" customHeight="1">
      <c r="A54" s="169" t="s">
        <v>165</v>
      </c>
      <c r="B54" s="165" t="s">
        <v>28</v>
      </c>
      <c r="C54" s="167" t="s">
        <v>67</v>
      </c>
      <c r="D54" s="64" t="s">
        <v>61</v>
      </c>
      <c r="E54" s="164">
        <f t="shared" si="7"/>
        <v>30000</v>
      </c>
      <c r="F54" s="164">
        <f t="shared" si="7"/>
        <v>30000</v>
      </c>
      <c r="G54" s="164">
        <f t="shared" si="7"/>
        <v>30000</v>
      </c>
      <c r="H54" s="164">
        <f t="shared" si="7"/>
        <v>30000</v>
      </c>
      <c r="I54" s="164">
        <f t="shared" si="7"/>
        <v>30000</v>
      </c>
      <c r="J54" s="164">
        <f t="shared" si="7"/>
        <v>30000</v>
      </c>
      <c r="K54" s="164">
        <f t="shared" si="7"/>
        <v>30000</v>
      </c>
      <c r="L54" s="164">
        <f t="shared" si="7"/>
        <v>30000</v>
      </c>
      <c r="M54" s="164">
        <f t="shared" si="7"/>
        <v>30000</v>
      </c>
      <c r="N54" s="164">
        <f t="shared" si="7"/>
        <v>30000</v>
      </c>
      <c r="O54" s="164">
        <f t="shared" si="7"/>
        <v>30000</v>
      </c>
      <c r="P54" s="164">
        <f t="shared" si="7"/>
        <v>30000</v>
      </c>
      <c r="Q54" s="1"/>
      <c r="R54" s="1"/>
      <c r="S54" s="1"/>
      <c r="T54" s="1"/>
      <c r="U54" s="1"/>
      <c r="V54" s="1"/>
      <c r="W54" s="1"/>
      <c r="X54" s="1"/>
      <c r="Y54" s="1"/>
      <c r="Z54" s="1"/>
    </row>
    <row r="55" spans="1:26" ht="12"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Y999"/>
  <sheetViews>
    <sheetView showGridLines="0" topLeftCell="A17" zoomScale="120" zoomScaleNormal="120" workbookViewId="0">
      <selection activeCell="C46" sqref="C46"/>
    </sheetView>
  </sheetViews>
  <sheetFormatPr defaultColWidth="14.42578125" defaultRowHeight="15" customHeight="1"/>
  <cols>
    <col min="1" max="1" width="47.42578125" style="55" customWidth="1"/>
    <col min="2" max="2" width="33.42578125" style="55" customWidth="1"/>
    <col min="3" max="3" width="19.42578125" style="55" customWidth="1"/>
    <col min="4" max="4" width="16.7109375" style="55" customWidth="1"/>
    <col min="5" max="14" width="19.42578125" style="55" customWidth="1"/>
    <col min="15" max="15" width="11.42578125" style="55" customWidth="1"/>
    <col min="16" max="17" width="12.42578125" style="55" customWidth="1"/>
    <col min="18" max="25" width="9.140625" style="55" customWidth="1"/>
    <col min="26" max="16384" width="14.42578125" style="55"/>
  </cols>
  <sheetData>
    <row r="1" spans="1:25" s="205" customFormat="1" ht="27.75" customHeight="1">
      <c r="A1" s="227" t="s">
        <v>166</v>
      </c>
      <c r="B1" s="258"/>
      <c r="C1" s="243">
        <v>41456</v>
      </c>
      <c r="D1" s="243">
        <v>41487</v>
      </c>
      <c r="E1" s="243">
        <v>41518</v>
      </c>
      <c r="F1" s="243">
        <v>41548</v>
      </c>
      <c r="G1" s="243">
        <v>41579</v>
      </c>
      <c r="H1" s="243">
        <v>41609</v>
      </c>
      <c r="I1" s="243">
        <v>41640</v>
      </c>
      <c r="J1" s="243">
        <v>41671</v>
      </c>
      <c r="K1" s="243">
        <v>41699</v>
      </c>
      <c r="L1" s="243">
        <v>41730</v>
      </c>
      <c r="M1" s="243">
        <v>41760</v>
      </c>
      <c r="N1" s="243">
        <v>41791</v>
      </c>
      <c r="O1" s="258"/>
      <c r="P1" s="258"/>
      <c r="Q1" s="258"/>
      <c r="R1" s="258"/>
      <c r="S1" s="258"/>
      <c r="T1" s="258"/>
      <c r="U1" s="258"/>
      <c r="V1" s="258"/>
      <c r="W1" s="258"/>
      <c r="X1" s="258"/>
      <c r="Y1" s="258"/>
    </row>
    <row r="2" spans="1:25" s="205" customFormat="1" ht="21.75" customHeight="1">
      <c r="A2" s="289"/>
      <c r="B2" s="282"/>
      <c r="C2" s="244" t="s">
        <v>43</v>
      </c>
      <c r="D2" s="245" t="s">
        <v>44</v>
      </c>
      <c r="E2" s="246" t="s">
        <v>45</v>
      </c>
      <c r="F2" s="246" t="s">
        <v>46</v>
      </c>
      <c r="G2" s="246" t="s">
        <v>47</v>
      </c>
      <c r="H2" s="246" t="s">
        <v>48</v>
      </c>
      <c r="I2" s="246" t="s">
        <v>49</v>
      </c>
      <c r="J2" s="246" t="s">
        <v>50</v>
      </c>
      <c r="K2" s="246" t="s">
        <v>51</v>
      </c>
      <c r="L2" s="246" t="s">
        <v>52</v>
      </c>
      <c r="M2" s="246" t="s">
        <v>53</v>
      </c>
      <c r="N2" s="246" t="s">
        <v>54</v>
      </c>
      <c r="O2" s="258"/>
      <c r="P2" s="258"/>
      <c r="Q2" s="258"/>
      <c r="R2" s="258"/>
      <c r="S2" s="258"/>
      <c r="T2" s="258"/>
      <c r="U2" s="258"/>
      <c r="V2" s="258"/>
      <c r="W2" s="258"/>
      <c r="X2" s="258"/>
      <c r="Y2" s="258"/>
    </row>
    <row r="3" spans="1:25" ht="12" customHeight="1">
      <c r="A3" s="25" t="s">
        <v>55</v>
      </c>
      <c r="B3" s="26" t="s">
        <v>56</v>
      </c>
      <c r="C3" s="24">
        <f>SUMIFS('CC BUDGET'!E$6:E$42,'CC BUDGET'!$B$6:$B$42,'CC BUDGET'!$B$6,'CC BUDGET'!$A$6:$A$42,'CC BUDGET'!$A$6)</f>
        <v>-8213375.7000000002</v>
      </c>
      <c r="D3" s="24">
        <f>SUMIFS('CC BUDGET'!F$6:F$42,'CC BUDGET'!$B$6:$B$42,'CC BUDGET'!$B$6,'CC BUDGET'!$A$6:$A$42,'CC BUDGET'!$A$6)</f>
        <v>-5968279.7000000002</v>
      </c>
      <c r="E3" s="24">
        <f>SUMIFS('CC BUDGET'!G$6:G$42,'CC BUDGET'!$B$6:$B$42,'CC BUDGET'!$B$6,'CC BUDGET'!$A$6:$A$42,'CC BUDGET'!$A$6)</f>
        <v>-5943759.7000000002</v>
      </c>
      <c r="F3" s="24">
        <f>SUMIFS('CC BUDGET'!H$6:H$42,'CC BUDGET'!$B$6:$B$42,'CC BUDGET'!$B$6,'CC BUDGET'!$A$6:$A$42,'CC BUDGET'!$A$6)</f>
        <v>-4405551.2300000004</v>
      </c>
      <c r="G3" s="24">
        <f>SUMIFS('CC BUDGET'!I$6:I$42,'CC BUDGET'!$B$6:$B$42,'CC BUDGET'!$B$6,'CC BUDGET'!$A$6:$A$42,'CC BUDGET'!$A$6)</f>
        <v>-7250656.2300000004</v>
      </c>
      <c r="H3" s="24">
        <f>SUMIFS('CC BUDGET'!J$6:J$42,'CC BUDGET'!$B$6:$B$42,'CC BUDGET'!$B$6,'CC BUDGET'!$A$6:$A$42,'CC BUDGET'!$A$6)</f>
        <v>-8001217.2300000004</v>
      </c>
      <c r="I3" s="24">
        <f>SUMIFS('CC BUDGET'!K$6:K$42,'CC BUDGET'!$B$6:$B$42,'CC BUDGET'!$B$6,'CC BUDGET'!$A$6:$A$42,'CC BUDGET'!$A$6)</f>
        <v>-10464692.23</v>
      </c>
      <c r="J3" s="24">
        <f>SUMIFS('CC BUDGET'!L$6:L$42,'CC BUDGET'!$B$6:$B$42,'CC BUDGET'!$B$6,'CC BUDGET'!$A$6:$A$42,'CC BUDGET'!$A$6)</f>
        <v>-9728864.2300000004</v>
      </c>
      <c r="K3" s="24">
        <f>SUMIFS('CC BUDGET'!M$6:M$42,'CC BUDGET'!$B$6:$B$42,'CC BUDGET'!$B$6,'CC BUDGET'!$A$6:$A$42,'CC BUDGET'!$A$6)</f>
        <v>-10439474.23</v>
      </c>
      <c r="L3" s="24">
        <f>SUMIFS('CC BUDGET'!N$6:N$42,'CC BUDGET'!$B$6:$B$42,'CC BUDGET'!$B$6,'CC BUDGET'!$A$6:$A$42,'CC BUDGET'!$A$6)</f>
        <v>-8093996.2300000004</v>
      </c>
      <c r="M3" s="24">
        <f>SUMIFS('CC BUDGET'!O$6:O$42,'CC BUDGET'!$B$6:$B$42,'CC BUDGET'!$B$6,'CC BUDGET'!$A$6:$A$42,'CC BUDGET'!$A$6)</f>
        <v>-7467847.2300000004</v>
      </c>
      <c r="N3" s="24">
        <f>SUMIFS('CC BUDGET'!P$6:P$42,'CC BUDGET'!$B$6:$B$42,'CC BUDGET'!$B$6,'CC BUDGET'!$A$6:$A$42,'CC BUDGET'!$A$6)</f>
        <v>-8015833.2300000004</v>
      </c>
      <c r="O3" s="1"/>
      <c r="P3" s="1"/>
      <c r="Q3" s="1"/>
      <c r="R3" s="1"/>
      <c r="S3" s="1"/>
      <c r="T3" s="1"/>
      <c r="U3" s="1"/>
      <c r="V3" s="1"/>
      <c r="W3" s="1"/>
      <c r="X3" s="1"/>
      <c r="Y3" s="1"/>
    </row>
    <row r="4" spans="1:25" ht="12" customHeight="1">
      <c r="A4" s="27"/>
      <c r="B4" s="290" t="s">
        <v>81</v>
      </c>
      <c r="C4" s="24">
        <f>SUMIFS('CC BUDGET'!E$6:E$42,'CC BUDGET'!$B$6:$B$42,'CC BUDGET'!$B$9,'CC BUDGET'!$A$6:$A$42,'CC BUDGET'!$A$6)</f>
        <v>30000</v>
      </c>
      <c r="D4" s="24">
        <f>SUMIFS('CC BUDGET'!F$6:F$42,'CC BUDGET'!$B$6:$B$42,'CC BUDGET'!$B$9,'CC BUDGET'!$A$6:$A$42,'CC BUDGET'!$A$6)</f>
        <v>30000</v>
      </c>
      <c r="E4" s="24">
        <f>SUMIFS('CC BUDGET'!G$6:G$42,'CC BUDGET'!$B$6:$B$42,'CC BUDGET'!$B$9,'CC BUDGET'!$A$6:$A$42,'CC BUDGET'!$A$6)</f>
        <v>30000</v>
      </c>
      <c r="F4" s="24">
        <f>SUMIFS('CC BUDGET'!H$6:H$42,'CC BUDGET'!$B$6:$B$42,'CC BUDGET'!$B$9,'CC BUDGET'!$A$6:$A$42,'CC BUDGET'!$A$6)</f>
        <v>30000</v>
      </c>
      <c r="G4" s="24">
        <f>SUMIFS('CC BUDGET'!I$6:I$42,'CC BUDGET'!$B$6:$B$42,'CC BUDGET'!$B$9,'CC BUDGET'!$A$6:$A$42,'CC BUDGET'!$A$6)</f>
        <v>30000</v>
      </c>
      <c r="H4" s="24">
        <f>SUMIFS('CC BUDGET'!J$6:J$42,'CC BUDGET'!$B$6:$B$42,'CC BUDGET'!$B$9,'CC BUDGET'!$A$6:$A$42,'CC BUDGET'!$A$6)</f>
        <v>30000</v>
      </c>
      <c r="I4" s="24">
        <f>SUMIFS('CC BUDGET'!K$6:K$42,'CC BUDGET'!$B$6:$B$42,'CC BUDGET'!$B$9,'CC BUDGET'!$A$6:$A$42,'CC BUDGET'!$A$6)</f>
        <v>30000</v>
      </c>
      <c r="J4" s="24">
        <f>SUMIFS('CC BUDGET'!L$6:L$42,'CC BUDGET'!$B$6:$B$42,'CC BUDGET'!$B$9,'CC BUDGET'!$A$6:$A$42,'CC BUDGET'!$A$6)</f>
        <v>30000</v>
      </c>
      <c r="K4" s="24">
        <f>SUMIFS('CC BUDGET'!M$6:M$42,'CC BUDGET'!$B$6:$B$42,'CC BUDGET'!$B$9,'CC BUDGET'!$A$6:$A$42,'CC BUDGET'!$A$6)</f>
        <v>30000</v>
      </c>
      <c r="L4" s="24">
        <f>SUMIFS('CC BUDGET'!N$6:N$42,'CC BUDGET'!$B$6:$B$42,'CC BUDGET'!$B$9,'CC BUDGET'!$A$6:$A$42,'CC BUDGET'!$A$6)</f>
        <v>30000</v>
      </c>
      <c r="M4" s="24">
        <f>SUMIFS('CC BUDGET'!O$6:O$42,'CC BUDGET'!$B$6:$B$42,'CC BUDGET'!$B$9,'CC BUDGET'!$A$6:$A$42,'CC BUDGET'!$A$6)</f>
        <v>30000</v>
      </c>
      <c r="N4" s="24">
        <f>SUMIFS('CC BUDGET'!P$6:P$42,'CC BUDGET'!$B$6:$B$42,'CC BUDGET'!$B$9,'CC BUDGET'!$A$6:$A$42,'CC BUDGET'!$A$6)</f>
        <v>30000</v>
      </c>
      <c r="O4" s="1"/>
      <c r="P4" s="1"/>
      <c r="Q4" s="1"/>
      <c r="R4" s="1"/>
      <c r="S4" s="1"/>
      <c r="T4" s="1"/>
      <c r="U4" s="1"/>
      <c r="V4" s="1"/>
      <c r="W4" s="1"/>
      <c r="X4" s="1"/>
      <c r="Y4" s="1"/>
    </row>
    <row r="5" spans="1:25" ht="12" customHeight="1">
      <c r="A5" s="27"/>
      <c r="B5" s="291" t="s">
        <v>82</v>
      </c>
      <c r="C5" s="24">
        <f>SUMIFS('CC BUDGET'!E$6:E$42,'CC BUDGET'!$B$6:$B$42,'CC BUDGET'!$B$10,'CC BUDGET'!$A$6:$A$42,'CC BUDGET'!$A$6)</f>
        <v>30000</v>
      </c>
      <c r="D5" s="24">
        <f>SUMIFS('CC BUDGET'!F$6:F$42,'CC BUDGET'!$B$6:$B$42,'CC BUDGET'!$B$10,'CC BUDGET'!$A$6:$A$42,'CC BUDGET'!$A$6)</f>
        <v>30000</v>
      </c>
      <c r="E5" s="24">
        <f>SUMIFS('CC BUDGET'!G$6:G$42,'CC BUDGET'!$B$6:$B$42,'CC BUDGET'!$B$10,'CC BUDGET'!$A$6:$A$42,'CC BUDGET'!$A$6)</f>
        <v>29923.74</v>
      </c>
      <c r="F5" s="24">
        <f>SUMIFS('CC BUDGET'!H$6:H$42,'CC BUDGET'!$B$6:$B$42,'CC BUDGET'!$B$10,'CC BUDGET'!$A$6:$A$42,'CC BUDGET'!$A$6)</f>
        <v>30000</v>
      </c>
      <c r="G5" s="24">
        <f>SUMIFS('CC BUDGET'!I$6:I$42,'CC BUDGET'!$B$6:$B$42,'CC BUDGET'!$B$10,'CC BUDGET'!$A$6:$A$42,'CC BUDGET'!$A$6)</f>
        <v>30000</v>
      </c>
      <c r="H5" s="24">
        <f>SUMIFS('CC BUDGET'!J$6:J$42,'CC BUDGET'!$B$6:$B$42,'CC BUDGET'!$B$10,'CC BUDGET'!$A$6:$A$42,'CC BUDGET'!$A$6)</f>
        <v>30000</v>
      </c>
      <c r="I5" s="24">
        <f>SUMIFS('CC BUDGET'!K$6:K$42,'CC BUDGET'!$B$6:$B$42,'CC BUDGET'!$B$10,'CC BUDGET'!$A$6:$A$42,'CC BUDGET'!$A$6)</f>
        <v>30000</v>
      </c>
      <c r="J5" s="24">
        <f>SUMIFS('CC BUDGET'!L$6:L$42,'CC BUDGET'!$B$6:$B$42,'CC BUDGET'!$B$10,'CC BUDGET'!$A$6:$A$42,'CC BUDGET'!$A$6)</f>
        <v>30000</v>
      </c>
      <c r="K5" s="24">
        <f>SUMIFS('CC BUDGET'!M$6:M$42,'CC BUDGET'!$B$6:$B$42,'CC BUDGET'!$B$10,'CC BUDGET'!$A$6:$A$42,'CC BUDGET'!$A$6)</f>
        <v>30000</v>
      </c>
      <c r="L5" s="24">
        <f>SUMIFS('CC BUDGET'!N$6:N$42,'CC BUDGET'!$B$6:$B$42,'CC BUDGET'!$B$10,'CC BUDGET'!$A$6:$A$42,'CC BUDGET'!$A$6)</f>
        <v>30000</v>
      </c>
      <c r="M5" s="24">
        <f>SUMIFS('CC BUDGET'!O$6:O$42,'CC BUDGET'!$B$6:$B$42,'CC BUDGET'!$B$10,'CC BUDGET'!$A$6:$A$42,'CC BUDGET'!$A$6)</f>
        <v>30000</v>
      </c>
      <c r="N5" s="24">
        <f>SUMIFS('CC BUDGET'!P$6:P$42,'CC BUDGET'!$B$6:$B$42,'CC BUDGET'!$B$10,'CC BUDGET'!$A$6:$A$42,'CC BUDGET'!$A$6)</f>
        <v>30000</v>
      </c>
      <c r="O5" s="1"/>
      <c r="P5" s="1"/>
      <c r="Q5" s="1"/>
      <c r="R5" s="1"/>
      <c r="S5" s="1"/>
      <c r="T5" s="1"/>
      <c r="U5" s="1"/>
      <c r="V5" s="1"/>
      <c r="W5" s="1"/>
      <c r="X5" s="1"/>
      <c r="Y5" s="1"/>
    </row>
    <row r="6" spans="1:25" ht="12" customHeight="1">
      <c r="A6" s="27"/>
      <c r="B6" s="291"/>
      <c r="C6" s="24"/>
      <c r="D6" s="24"/>
      <c r="E6" s="24"/>
      <c r="F6" s="24"/>
      <c r="G6" s="24"/>
      <c r="H6" s="24"/>
      <c r="I6" s="24"/>
      <c r="J6" s="24"/>
      <c r="K6" s="24"/>
      <c r="L6" s="24"/>
      <c r="M6" s="24"/>
      <c r="N6" s="24"/>
      <c r="O6" s="1"/>
      <c r="P6" s="1"/>
      <c r="Q6" s="1"/>
      <c r="R6" s="1"/>
      <c r="S6" s="1"/>
      <c r="T6" s="1"/>
      <c r="U6" s="1"/>
      <c r="V6" s="1"/>
      <c r="W6" s="1"/>
      <c r="X6" s="1"/>
      <c r="Y6" s="1"/>
    </row>
    <row r="7" spans="1:25" ht="12" customHeight="1">
      <c r="A7" s="28" t="s">
        <v>69</v>
      </c>
      <c r="B7" s="290" t="s">
        <v>56</v>
      </c>
      <c r="C7" s="24">
        <f>SUMIFS('CC BUDGET'!E$6:E$42,'CC BUDGET'!$B$6:$B$42,'CC BUDGET'!$B$6,'CC BUDGET'!$A$6:$A$42,'CC BUDGET'!$A$20)</f>
        <v>-16539850.560000001</v>
      </c>
      <c r="D7" s="24">
        <f>SUMIFS('CC BUDGET'!F$6:F$42,'CC BUDGET'!$B$6:$B$42,'CC BUDGET'!$B$6,'CC BUDGET'!$A$6:$A$42,'CC BUDGET'!$A$20)</f>
        <v>-14936115.32</v>
      </c>
      <c r="E7" s="24">
        <f>SUMIFS('CC BUDGET'!G$6:G$42,'CC BUDGET'!$B$6:$B$42,'CC BUDGET'!$B$6,'CC BUDGET'!$A$6:$A$42,'CC BUDGET'!$A$20)</f>
        <v>-14911829.35</v>
      </c>
      <c r="F7" s="24">
        <f>SUMIFS('CC BUDGET'!H$6:H$42,'CC BUDGET'!$B$6:$B$42,'CC BUDGET'!$B$6,'CC BUDGET'!$A$6:$A$42,'CC BUDGET'!$A$20)</f>
        <v>-12812490.02</v>
      </c>
      <c r="G7" s="24">
        <f>SUMIFS('CC BUDGET'!I$6:I$42,'CC BUDGET'!$B$6:$B$42,'CC BUDGET'!$B$6,'CC BUDGET'!$A$6:$A$42,'CC BUDGET'!$A$20)</f>
        <v>-13725254.119999999</v>
      </c>
      <c r="H7" s="24">
        <f>SUMIFS('CC BUDGET'!J$6:J$42,'CC BUDGET'!$B$6:$B$42,'CC BUDGET'!$B$6,'CC BUDGET'!$A$6:$A$42,'CC BUDGET'!$A$20)</f>
        <v>-12969085.51</v>
      </c>
      <c r="I7" s="24">
        <f>SUMIFS('CC BUDGET'!K$6:K$42,'CC BUDGET'!$B$6:$B$42,'CC BUDGET'!$B$6,'CC BUDGET'!$A$6:$A$42,'CC BUDGET'!$A$20)</f>
        <v>-17691646.970000003</v>
      </c>
      <c r="J7" s="24">
        <f>SUMIFS('CC BUDGET'!L$6:L$42,'CC BUDGET'!$B$6:$B$42,'CC BUDGET'!$B$6,'CC BUDGET'!$A$6:$A$42,'CC BUDGET'!$A$20)</f>
        <v>-16929153.190000001</v>
      </c>
      <c r="K7" s="24">
        <f>SUMIFS('CC BUDGET'!M$6:M$42,'CC BUDGET'!$B$6:$B$42,'CC BUDGET'!$B$6,'CC BUDGET'!$A$6:$A$42,'CC BUDGET'!$A$20)</f>
        <v>-15974433.369999999</v>
      </c>
      <c r="L7" s="24">
        <f>SUMIFS('CC BUDGET'!N$6:N$42,'CC BUDGET'!$B$6:$B$42,'CC BUDGET'!$B$6,'CC BUDGET'!$A$6:$A$42,'CC BUDGET'!$A$20)</f>
        <v>-19039986.690000001</v>
      </c>
      <c r="M7" s="24">
        <f>SUMIFS('CC BUDGET'!O$6:O$42,'CC BUDGET'!$B$6:$B$42,'CC BUDGET'!$B$6,'CC BUDGET'!$A$6:$A$42,'CC BUDGET'!$A$20)</f>
        <v>-17082544.41</v>
      </c>
      <c r="N7" s="24">
        <f>SUMIFS('CC BUDGET'!P$6:P$42,'CC BUDGET'!$B$6:$B$42,'CC BUDGET'!$B$6,'CC BUDGET'!$A$6:$A$42,'CC BUDGET'!$A$20)</f>
        <v>-18945397.850000001</v>
      </c>
      <c r="O7" s="1"/>
      <c r="P7" s="1"/>
      <c r="Q7" s="1"/>
      <c r="R7" s="1"/>
      <c r="S7" s="1"/>
      <c r="T7" s="1"/>
      <c r="U7" s="1"/>
      <c r="V7" s="1"/>
      <c r="W7" s="1"/>
      <c r="X7" s="1"/>
      <c r="Y7" s="1"/>
    </row>
    <row r="8" spans="1:25" ht="12" customHeight="1">
      <c r="A8" s="28"/>
      <c r="B8" s="291" t="s">
        <v>81</v>
      </c>
      <c r="C8" s="24">
        <f>SUMIFS('CC BUDGET'!E$6:E$42,'CC BUDGET'!$B$6:$B$42,'CC BUDGET'!$B$9,'CC BUDGET'!$A$6:$A$42,'CC BUDGET'!$A$20)</f>
        <v>169981</v>
      </c>
      <c r="D8" s="24">
        <f>SUMIFS('CC BUDGET'!F$6:F$42,'CC BUDGET'!$B$6:$B$42,'CC BUDGET'!$B$9,'CC BUDGET'!$A$6:$A$42,'CC BUDGET'!$A$20)</f>
        <v>169981</v>
      </c>
      <c r="E8" s="24">
        <f>SUMIFS('CC BUDGET'!G$6:G$42,'CC BUDGET'!$B$6:$B$42,'CC BUDGET'!$B$9,'CC BUDGET'!$A$6:$A$42,'CC BUDGET'!$A$20)</f>
        <v>169981</v>
      </c>
      <c r="F8" s="24">
        <f>SUMIFS('CC BUDGET'!H$6:H$42,'CC BUDGET'!$B$6:$B$42,'CC BUDGET'!$B$9,'CC BUDGET'!$A$6:$A$42,'CC BUDGET'!$A$20)</f>
        <v>166888</v>
      </c>
      <c r="G8" s="24">
        <f>SUMIFS('CC BUDGET'!I$6:I$42,'CC BUDGET'!$B$6:$B$42,'CC BUDGET'!$B$9,'CC BUDGET'!$A$6:$A$42,'CC BUDGET'!$A$20)</f>
        <v>166888</v>
      </c>
      <c r="H8" s="24">
        <f>SUMIFS('CC BUDGET'!J$6:J$42,'CC BUDGET'!$B$6:$B$42,'CC BUDGET'!$B$9,'CC BUDGET'!$A$6:$A$42,'CC BUDGET'!$A$20)</f>
        <v>392677</v>
      </c>
      <c r="I8" s="24">
        <f>SUMIFS('CC BUDGET'!K$6:K$42,'CC BUDGET'!$B$6:$B$42,'CC BUDGET'!$B$9,'CC BUDGET'!$A$6:$A$42,'CC BUDGET'!$A$20)</f>
        <v>392677</v>
      </c>
      <c r="J8" s="24">
        <f>SUMIFS('CC BUDGET'!L$6:L$42,'CC BUDGET'!$B$6:$B$42,'CC BUDGET'!$B$9,'CC BUDGET'!$A$6:$A$42,'CC BUDGET'!$A$20)</f>
        <v>608648</v>
      </c>
      <c r="K8" s="24">
        <f>SUMIFS('CC BUDGET'!M$6:M$42,'CC BUDGET'!$B$6:$B$42,'CC BUDGET'!$B$9,'CC BUDGET'!$A$6:$A$42,'CC BUDGET'!$A$20)</f>
        <v>608648</v>
      </c>
      <c r="L8" s="24">
        <f>SUMIFS('CC BUDGET'!N$6:N$42,'CC BUDGET'!$B$6:$B$42,'CC BUDGET'!$B$9,'CC BUDGET'!$A$6:$A$42,'CC BUDGET'!$A$20)</f>
        <v>166888</v>
      </c>
      <c r="M8" s="24">
        <f>SUMIFS('CC BUDGET'!O$6:O$42,'CC BUDGET'!$B$6:$B$42,'CC BUDGET'!$B$9,'CC BUDGET'!$A$6:$A$42,'CC BUDGET'!$A$20)</f>
        <v>166888</v>
      </c>
      <c r="N8" s="24">
        <f>SUMIFS('CC BUDGET'!P$6:P$42,'CC BUDGET'!$B$6:$B$42,'CC BUDGET'!$B$9,'CC BUDGET'!$A$6:$A$42,'CC BUDGET'!$A$20)</f>
        <v>166888</v>
      </c>
      <c r="O8" s="1"/>
      <c r="P8" s="1"/>
      <c r="Q8" s="1"/>
      <c r="R8" s="1"/>
      <c r="S8" s="1"/>
      <c r="T8" s="1"/>
      <c r="U8" s="1"/>
      <c r="V8" s="1"/>
      <c r="W8" s="1"/>
      <c r="X8" s="1"/>
      <c r="Y8" s="1"/>
    </row>
    <row r="9" spans="1:25" ht="12" customHeight="1">
      <c r="A9" s="27"/>
      <c r="B9" s="290" t="s">
        <v>82</v>
      </c>
      <c r="C9" s="24">
        <f>SUMIFS('CC BUDGET'!E$6:E$42,'CC BUDGET'!$B$6:$B$42,'CC BUDGET'!$B$10,'CC BUDGET'!$A$6:$A$42,'CC BUDGET'!$A$20)</f>
        <v>479062.54</v>
      </c>
      <c r="D9" s="24">
        <f>SUMIFS('CC BUDGET'!F$6:F$42,'CC BUDGET'!$B$6:$B$42,'CC BUDGET'!$B$10,'CC BUDGET'!$A$6:$A$42,'CC BUDGET'!$A$20)</f>
        <v>479062.54</v>
      </c>
      <c r="E9" s="24">
        <f>SUMIFS('CC BUDGET'!G$6:G$42,'CC BUDGET'!$B$6:$B$42,'CC BUDGET'!$B$10,'CC BUDGET'!$A$6:$A$42,'CC BUDGET'!$A$20)</f>
        <v>479062.54</v>
      </c>
      <c r="F9" s="24">
        <f>SUMIFS('CC BUDGET'!H$6:H$42,'CC BUDGET'!$B$6:$B$42,'CC BUDGET'!$B$10,'CC BUDGET'!$A$6:$A$42,'CC BUDGET'!$A$20)</f>
        <v>479062.54</v>
      </c>
      <c r="G9" s="24">
        <f>SUMIFS('CC BUDGET'!I$6:I$42,'CC BUDGET'!$B$6:$B$42,'CC BUDGET'!$B$10,'CC BUDGET'!$A$6:$A$42,'CC BUDGET'!$A$20)</f>
        <v>479062.54</v>
      </c>
      <c r="H9" s="24">
        <f>SUMIFS('CC BUDGET'!J$6:J$42,'CC BUDGET'!$B$6:$B$42,'CC BUDGET'!$B$10,'CC BUDGET'!$A$6:$A$42,'CC BUDGET'!$A$20)</f>
        <v>479062.54</v>
      </c>
      <c r="I9" s="24">
        <f>SUMIFS('CC BUDGET'!K$6:K$42,'CC BUDGET'!$B$6:$B$42,'CC BUDGET'!$B$10,'CC BUDGET'!$A$6:$A$42,'CC BUDGET'!$A$20)</f>
        <v>479062.54</v>
      </c>
      <c r="J9" s="24">
        <f>SUMIFS('CC BUDGET'!L$6:L$42,'CC BUDGET'!$B$6:$B$42,'CC BUDGET'!$B$10,'CC BUDGET'!$A$6:$A$42,'CC BUDGET'!$A$20)</f>
        <v>479062.54</v>
      </c>
      <c r="K9" s="24">
        <f>SUMIFS('CC BUDGET'!M$6:M$42,'CC BUDGET'!$B$6:$B$42,'CC BUDGET'!$B$10,'CC BUDGET'!$A$6:$A$42,'CC BUDGET'!$A$20)</f>
        <v>479062.54</v>
      </c>
      <c r="L9" s="24">
        <f>SUMIFS('CC BUDGET'!N$6:N$42,'CC BUDGET'!$B$6:$B$42,'CC BUDGET'!$B$10,'CC BUDGET'!$A$6:$A$42,'CC BUDGET'!$A$20)</f>
        <v>479062.54</v>
      </c>
      <c r="M9" s="24">
        <f>SUMIFS('CC BUDGET'!O$6:O$42,'CC BUDGET'!$B$6:$B$42,'CC BUDGET'!$B$10,'CC BUDGET'!$A$6:$A$42,'CC BUDGET'!$A$20)</f>
        <v>479062.54</v>
      </c>
      <c r="N9" s="24">
        <f>SUMIFS('CC BUDGET'!P$6:P$42,'CC BUDGET'!$B$6:$B$42,'CC BUDGET'!$B$10,'CC BUDGET'!$A$6:$A$42,'CC BUDGET'!$A$20)</f>
        <v>479062.54</v>
      </c>
      <c r="O9" s="1"/>
      <c r="P9" s="1"/>
      <c r="Q9" s="1"/>
      <c r="R9" s="1"/>
      <c r="S9" s="1"/>
      <c r="T9" s="1"/>
      <c r="U9" s="1"/>
      <c r="V9" s="1"/>
      <c r="W9" s="1"/>
      <c r="X9" s="1"/>
      <c r="Y9" s="1"/>
    </row>
    <row r="10" spans="1:25" ht="12" customHeight="1">
      <c r="A10" s="27"/>
      <c r="B10" s="290"/>
      <c r="C10" s="24"/>
      <c r="D10" s="24"/>
      <c r="E10" s="24"/>
      <c r="F10" s="24"/>
      <c r="G10" s="24"/>
      <c r="H10" s="24"/>
      <c r="I10" s="24"/>
      <c r="J10" s="24"/>
      <c r="K10" s="24"/>
      <c r="L10" s="24"/>
      <c r="M10" s="24"/>
      <c r="N10" s="24"/>
      <c r="O10" s="1"/>
      <c r="P10" s="1"/>
      <c r="Q10" s="1"/>
      <c r="R10" s="1"/>
      <c r="S10" s="1"/>
      <c r="T10" s="1"/>
      <c r="U10" s="1"/>
      <c r="V10" s="1"/>
      <c r="W10" s="1"/>
      <c r="X10" s="1"/>
      <c r="Y10" s="1"/>
    </row>
    <row r="11" spans="1:25" ht="12" customHeight="1">
      <c r="A11" s="28" t="s">
        <v>84</v>
      </c>
      <c r="B11" s="291" t="s">
        <v>56</v>
      </c>
      <c r="C11" s="24">
        <f>SUMIFS('CC BUDGET'!E$6:E$42,'CC BUDGET'!$B$6:$B$42,'CC BUDGET'!$B$6,'CC BUDGET'!$A$6:$A$42,'CC BUDGET'!$A$30)</f>
        <v>-17486457.32</v>
      </c>
      <c r="D11" s="24">
        <f>SUMIFS('CC BUDGET'!F$6:F$42,'CC BUDGET'!$B$6:$B$42,'CC BUDGET'!$B$6,'CC BUDGET'!$A$6:$A$42,'CC BUDGET'!$A$30)</f>
        <v>-17080683.32</v>
      </c>
      <c r="E11" s="24">
        <f>SUMIFS('CC BUDGET'!G$6:G$42,'CC BUDGET'!$B$6:$B$42,'CC BUDGET'!$B$6,'CC BUDGET'!$A$6:$A$42,'CC BUDGET'!$A$30)</f>
        <v>-18779074.32</v>
      </c>
      <c r="F11" s="24">
        <f>SUMIFS('CC BUDGET'!H$6:H$42,'CC BUDGET'!$B$6:$B$42,'CC BUDGET'!$B$6,'CC BUDGET'!$A$6:$A$42,'CC BUDGET'!$A$30)</f>
        <v>-16393725.940000001</v>
      </c>
      <c r="G11" s="24">
        <f>SUMIFS('CC BUDGET'!I$6:I$42,'CC BUDGET'!$B$6:$B$42,'CC BUDGET'!$B$6,'CC BUDGET'!$A$6:$A$42,'CC BUDGET'!$A$30)</f>
        <v>-18198123.939999998</v>
      </c>
      <c r="H11" s="24">
        <f>SUMIFS('CC BUDGET'!J$6:J$42,'CC BUDGET'!$B$6:$B$42,'CC BUDGET'!$B$6,'CC BUDGET'!$A$6:$A$42,'CC BUDGET'!$A$30)</f>
        <v>-18745041.939999998</v>
      </c>
      <c r="I11" s="24">
        <f>SUMIFS('CC BUDGET'!K$6:K$42,'CC BUDGET'!$B$6:$B$42,'CC BUDGET'!$B$6,'CC BUDGET'!$A$6:$A$42,'CC BUDGET'!$A$30)</f>
        <v>-20438972.939999998</v>
      </c>
      <c r="J11" s="24">
        <f>SUMIFS('CC BUDGET'!L$6:L$42,'CC BUDGET'!$B$6:$B$42,'CC BUDGET'!$B$6,'CC BUDGET'!$A$6:$A$42,'CC BUDGET'!$A$30)</f>
        <v>-19896925.939999998</v>
      </c>
      <c r="K11" s="24">
        <f>SUMIFS('CC BUDGET'!M$6:M$42,'CC BUDGET'!$B$6:$B$42,'CC BUDGET'!$B$6,'CC BUDGET'!$A$6:$A$42,'CC BUDGET'!$A$30)</f>
        <v>-20741539.48</v>
      </c>
      <c r="L11" s="24">
        <f>SUMIFS('CC BUDGET'!N$6:N$42,'CC BUDGET'!$B$6:$B$42,'CC BUDGET'!$B$6,'CC BUDGET'!$A$6:$A$42,'CC BUDGET'!$A$30)</f>
        <v>-17125160.940000001</v>
      </c>
      <c r="M11" s="24">
        <f>SUMIFS('CC BUDGET'!O$6:O$42,'CC BUDGET'!$B$6:$B$42,'CC BUDGET'!$B$6,'CC BUDGET'!$A$6:$A$42,'CC BUDGET'!$A$30)</f>
        <v>-18572607.939999998</v>
      </c>
      <c r="N11" s="24">
        <f>SUMIFS('CC BUDGET'!P$6:P$42,'CC BUDGET'!$B$6:$B$42,'CC BUDGET'!$B$6,'CC BUDGET'!$A$6:$A$42,'CC BUDGET'!$A$30)</f>
        <v>-19240921.939999998</v>
      </c>
      <c r="O11" s="1"/>
      <c r="P11" s="1"/>
      <c r="Q11" s="1"/>
      <c r="R11" s="1"/>
      <c r="S11" s="1"/>
      <c r="T11" s="1"/>
      <c r="U11" s="1"/>
      <c r="V11" s="1"/>
      <c r="W11" s="1"/>
      <c r="X11" s="1"/>
      <c r="Y11" s="1"/>
    </row>
    <row r="12" spans="1:25" ht="12" customHeight="1">
      <c r="A12" s="27"/>
      <c r="B12" s="290" t="s">
        <v>81</v>
      </c>
      <c r="C12" s="24">
        <f>SUMIFS('CC BUDGET'!E$6:E$42,'CC BUDGET'!$B$6:$B$42,'CC BUDGET'!$B$9,'CC BUDGET'!$A$6:$A$42,'CC BUDGET'!$A$30)</f>
        <v>150914</v>
      </c>
      <c r="D12" s="24">
        <f>SUMIFS('CC BUDGET'!F$6:F$42,'CC BUDGET'!$B$6:$B$42,'CC BUDGET'!$B$9,'CC BUDGET'!$A$6:$A$42,'CC BUDGET'!$A$30)</f>
        <v>150914</v>
      </c>
      <c r="E12" s="24">
        <f>SUMIFS('CC BUDGET'!G$6:G$42,'CC BUDGET'!$B$6:$B$42,'CC BUDGET'!$B$9,'CC BUDGET'!$A$6:$A$42,'CC BUDGET'!$A$30)</f>
        <v>150914</v>
      </c>
      <c r="F12" s="24">
        <f>SUMIFS('CC BUDGET'!H$6:H$42,'CC BUDGET'!$B$6:$B$42,'CC BUDGET'!$B$9,'CC BUDGET'!$A$6:$A$42,'CC BUDGET'!$A$30)</f>
        <v>145582</v>
      </c>
      <c r="G12" s="24">
        <f>SUMIFS('CC BUDGET'!I$6:I$42,'CC BUDGET'!$B$6:$B$42,'CC BUDGET'!$B$9,'CC BUDGET'!$A$6:$A$42,'CC BUDGET'!$A$30)</f>
        <v>145582</v>
      </c>
      <c r="H12" s="24">
        <f>SUMIFS('CC BUDGET'!J$6:J$42,'CC BUDGET'!$B$6:$B$42,'CC BUDGET'!$B$9,'CC BUDGET'!$A$6:$A$42,'CC BUDGET'!$A$30)</f>
        <v>341130</v>
      </c>
      <c r="I12" s="24">
        <f>SUMIFS('CC BUDGET'!K$6:K$42,'CC BUDGET'!$B$6:$B$42,'CC BUDGET'!$B$9,'CC BUDGET'!$A$6:$A$42,'CC BUDGET'!$A$30)</f>
        <v>341130</v>
      </c>
      <c r="J12" s="24">
        <f>SUMIFS('CC BUDGET'!L$6:L$42,'CC BUDGET'!$B$6:$B$42,'CC BUDGET'!$B$9,'CC BUDGET'!$A$6:$A$42,'CC BUDGET'!$A$30)</f>
        <v>528180</v>
      </c>
      <c r="K12" s="24">
        <f>SUMIFS('CC BUDGET'!M$6:M$42,'CC BUDGET'!$B$6:$B$42,'CC BUDGET'!$B$9,'CC BUDGET'!$A$6:$A$42,'CC BUDGET'!$A$30)</f>
        <v>528180</v>
      </c>
      <c r="L12" s="24">
        <f>SUMIFS('CC BUDGET'!N$6:N$42,'CC BUDGET'!$B$6:$B$42,'CC BUDGET'!$B$9,'CC BUDGET'!$A$6:$A$42,'CC BUDGET'!$A$30)</f>
        <v>145582</v>
      </c>
      <c r="M12" s="24">
        <f>SUMIFS('CC BUDGET'!O$6:O$42,'CC BUDGET'!$B$6:$B$42,'CC BUDGET'!$B$9,'CC BUDGET'!$A$6:$A$42,'CC BUDGET'!$A$30)</f>
        <v>145582</v>
      </c>
      <c r="N12" s="24">
        <f>SUMIFS('CC BUDGET'!P$6:P$42,'CC BUDGET'!$B$6:$B$42,'CC BUDGET'!$B$9,'CC BUDGET'!$A$6:$A$42,'CC BUDGET'!$A$30)</f>
        <v>145582</v>
      </c>
      <c r="O12" s="1"/>
      <c r="P12" s="1"/>
      <c r="Q12" s="1"/>
      <c r="R12" s="1"/>
      <c r="S12" s="1"/>
      <c r="T12" s="1"/>
      <c r="U12" s="1"/>
      <c r="V12" s="1"/>
      <c r="W12" s="1"/>
      <c r="X12" s="1"/>
      <c r="Y12" s="1"/>
    </row>
    <row r="13" spans="1:25" ht="12" customHeight="1">
      <c r="A13" s="28"/>
      <c r="B13" s="291" t="s">
        <v>82</v>
      </c>
      <c r="C13" s="24">
        <f>SUMIFS('CC BUDGET'!E$6:E$42,'CC BUDGET'!$B$6:$B$42,'CC BUDGET'!$B$10,'CC BUDGET'!$A$6:$A$42,'CC BUDGET'!$A$30)</f>
        <v>4850</v>
      </c>
      <c r="D13" s="24">
        <f>SUMIFS('CC BUDGET'!F$6:F$42,'CC BUDGET'!$B$6:$B$42,'CC BUDGET'!$B$10,'CC BUDGET'!$A$6:$A$42,'CC BUDGET'!$A$30)</f>
        <v>9600</v>
      </c>
      <c r="E13" s="24">
        <f>SUMIFS('CC BUDGET'!G$6:G$42,'CC BUDGET'!$B$6:$B$42,'CC BUDGET'!$B$10,'CC BUDGET'!$A$6:$A$42,'CC BUDGET'!$A$30)</f>
        <v>4850</v>
      </c>
      <c r="F13" s="24">
        <f>SUMIFS('CC BUDGET'!H$6:H$42,'CC BUDGET'!$B$6:$B$42,'CC BUDGET'!$B$10,'CC BUDGET'!$A$6:$A$42,'CC BUDGET'!$A$30)</f>
        <v>4850</v>
      </c>
      <c r="G13" s="24">
        <f>SUMIFS('CC BUDGET'!I$6:I$42,'CC BUDGET'!$B$6:$B$42,'CC BUDGET'!$B$10,'CC BUDGET'!$A$6:$A$42,'CC BUDGET'!$A$30)</f>
        <v>4850</v>
      </c>
      <c r="H13" s="24">
        <f>SUMIFS('CC BUDGET'!J$6:J$42,'CC BUDGET'!$B$6:$B$42,'CC BUDGET'!$B$10,'CC BUDGET'!$A$6:$A$42,'CC BUDGET'!$A$30)</f>
        <v>4850</v>
      </c>
      <c r="I13" s="24">
        <f>SUMIFS('CC BUDGET'!K$6:K$42,'CC BUDGET'!$B$6:$B$42,'CC BUDGET'!$B$10,'CC BUDGET'!$A$6:$A$42,'CC BUDGET'!$A$30)</f>
        <v>4850</v>
      </c>
      <c r="J13" s="24">
        <f>SUMIFS('CC BUDGET'!L$6:L$42,'CC BUDGET'!$B$6:$B$42,'CC BUDGET'!$B$10,'CC BUDGET'!$A$6:$A$42,'CC BUDGET'!$A$30)</f>
        <v>9600</v>
      </c>
      <c r="K13" s="24">
        <f>SUMIFS('CC BUDGET'!M$6:M$42,'CC BUDGET'!$B$6:$B$42,'CC BUDGET'!$B$10,'CC BUDGET'!$A$6:$A$42,'CC BUDGET'!$A$30)</f>
        <v>4850</v>
      </c>
      <c r="L13" s="24">
        <f>SUMIFS('CC BUDGET'!N$6:N$42,'CC BUDGET'!$B$6:$B$42,'CC BUDGET'!$B$10,'CC BUDGET'!$A$6:$A$42,'CC BUDGET'!$A$30)</f>
        <v>4850</v>
      </c>
      <c r="M13" s="24">
        <f>SUMIFS('CC BUDGET'!O$6:O$42,'CC BUDGET'!$B$6:$B$42,'CC BUDGET'!$B$10,'CC BUDGET'!$A$6:$A$42,'CC BUDGET'!$A$30)</f>
        <v>4850</v>
      </c>
      <c r="N13" s="24">
        <f>SUMIFS('CC BUDGET'!P$6:P$42,'CC BUDGET'!$B$6:$B$42,'CC BUDGET'!$B$10,'CC BUDGET'!$A$6:$A$42,'CC BUDGET'!$A$30)</f>
        <v>4850</v>
      </c>
      <c r="O13" s="1"/>
      <c r="P13" s="1"/>
      <c r="Q13" s="1"/>
      <c r="R13" s="1"/>
      <c r="S13" s="1"/>
      <c r="T13" s="1"/>
      <c r="U13" s="1"/>
      <c r="V13" s="1"/>
      <c r="W13" s="1"/>
      <c r="X13" s="1"/>
      <c r="Y13" s="1"/>
    </row>
    <row r="14" spans="1:25" ht="12" customHeight="1">
      <c r="A14" s="29"/>
      <c r="B14" s="291"/>
      <c r="C14" s="24"/>
      <c r="D14" s="24"/>
      <c r="E14" s="24"/>
      <c r="F14" s="24"/>
      <c r="G14" s="24"/>
      <c r="H14" s="24"/>
      <c r="I14" s="24"/>
      <c r="J14" s="24"/>
      <c r="K14" s="24"/>
      <c r="L14" s="24"/>
      <c r="M14" s="24"/>
      <c r="N14" s="24"/>
      <c r="O14" s="1"/>
      <c r="P14" s="1"/>
      <c r="Q14" s="1"/>
      <c r="R14" s="1"/>
      <c r="S14" s="1"/>
      <c r="T14" s="1"/>
      <c r="U14" s="1"/>
      <c r="V14" s="1"/>
      <c r="W14" s="1"/>
      <c r="X14" s="1"/>
      <c r="Y14" s="1"/>
    </row>
    <row r="15" spans="1:25" ht="12" customHeight="1">
      <c r="A15" s="30" t="s">
        <v>94</v>
      </c>
      <c r="B15" s="291" t="s">
        <v>56</v>
      </c>
      <c r="C15" s="24">
        <f>C3+C7+C11</f>
        <v>-42239683.579999998</v>
      </c>
      <c r="D15" s="24">
        <f t="shared" ref="D15:N15" si="0">D3+D7+D11</f>
        <v>-37985078.340000004</v>
      </c>
      <c r="E15" s="24">
        <f t="shared" si="0"/>
        <v>-39634663.370000005</v>
      </c>
      <c r="F15" s="24">
        <f t="shared" si="0"/>
        <v>-33611767.189999998</v>
      </c>
      <c r="G15" s="24">
        <f t="shared" si="0"/>
        <v>-39174034.289999999</v>
      </c>
      <c r="H15" s="24">
        <f t="shared" si="0"/>
        <v>-39715344.68</v>
      </c>
      <c r="I15" s="24">
        <f t="shared" si="0"/>
        <v>-48595312.140000001</v>
      </c>
      <c r="J15" s="24">
        <f t="shared" si="0"/>
        <v>-46554943.359999999</v>
      </c>
      <c r="K15" s="24">
        <f t="shared" si="0"/>
        <v>-47155447.079999998</v>
      </c>
      <c r="L15" s="24">
        <f t="shared" si="0"/>
        <v>-44259143.859999999</v>
      </c>
      <c r="M15" s="24">
        <f t="shared" si="0"/>
        <v>-43122999.579999998</v>
      </c>
      <c r="N15" s="24">
        <f t="shared" si="0"/>
        <v>-46202153.019999996</v>
      </c>
      <c r="O15" s="1"/>
      <c r="P15" s="1"/>
      <c r="Q15" s="1"/>
      <c r="R15" s="1"/>
      <c r="S15" s="1"/>
      <c r="T15" s="1"/>
      <c r="U15" s="1"/>
      <c r="V15" s="1"/>
      <c r="W15" s="1"/>
      <c r="X15" s="1"/>
      <c r="Y15" s="1"/>
    </row>
    <row r="16" spans="1:25" ht="12" customHeight="1">
      <c r="A16" s="30"/>
      <c r="B16" s="290" t="s">
        <v>81</v>
      </c>
      <c r="C16" s="24">
        <f>C4+C8+C12</f>
        <v>350895</v>
      </c>
      <c r="D16" s="24">
        <f t="shared" ref="D16:N16" si="1">D4+D8+D12</f>
        <v>350895</v>
      </c>
      <c r="E16" s="24">
        <f t="shared" si="1"/>
        <v>350895</v>
      </c>
      <c r="F16" s="24">
        <f t="shared" si="1"/>
        <v>342470</v>
      </c>
      <c r="G16" s="24">
        <f t="shared" si="1"/>
        <v>342470</v>
      </c>
      <c r="H16" s="24">
        <f t="shared" si="1"/>
        <v>763807</v>
      </c>
      <c r="I16" s="24">
        <f t="shared" si="1"/>
        <v>763807</v>
      </c>
      <c r="J16" s="24">
        <f t="shared" si="1"/>
        <v>1166828</v>
      </c>
      <c r="K16" s="24">
        <f t="shared" si="1"/>
        <v>1166828</v>
      </c>
      <c r="L16" s="24">
        <f t="shared" si="1"/>
        <v>342470</v>
      </c>
      <c r="M16" s="24">
        <f t="shared" si="1"/>
        <v>342470</v>
      </c>
      <c r="N16" s="24">
        <f t="shared" si="1"/>
        <v>342470</v>
      </c>
      <c r="O16" s="1"/>
      <c r="P16" s="1"/>
      <c r="Q16" s="1"/>
      <c r="R16" s="1"/>
      <c r="S16" s="1"/>
      <c r="T16" s="1"/>
      <c r="U16" s="1"/>
      <c r="V16" s="1"/>
      <c r="W16" s="1"/>
      <c r="X16" s="1"/>
      <c r="Y16" s="1"/>
    </row>
    <row r="17" spans="1:25" ht="12" customHeight="1">
      <c r="A17" s="30"/>
      <c r="B17" s="291" t="s">
        <v>82</v>
      </c>
      <c r="C17" s="24">
        <f>C5+C9+C13</f>
        <v>513912.54</v>
      </c>
      <c r="D17" s="24">
        <f t="shared" ref="D17:N17" si="2">D5+D9+D13</f>
        <v>518662.54</v>
      </c>
      <c r="E17" s="24">
        <f t="shared" si="2"/>
        <v>513836.27999999997</v>
      </c>
      <c r="F17" s="24">
        <f t="shared" si="2"/>
        <v>513912.54</v>
      </c>
      <c r="G17" s="24">
        <f t="shared" si="2"/>
        <v>513912.54</v>
      </c>
      <c r="H17" s="24">
        <f t="shared" si="2"/>
        <v>513912.54</v>
      </c>
      <c r="I17" s="24">
        <f t="shared" si="2"/>
        <v>513912.54</v>
      </c>
      <c r="J17" s="24">
        <f t="shared" si="2"/>
        <v>518662.54</v>
      </c>
      <c r="K17" s="24">
        <f t="shared" si="2"/>
        <v>513912.54</v>
      </c>
      <c r="L17" s="24">
        <f t="shared" si="2"/>
        <v>513912.54</v>
      </c>
      <c r="M17" s="24">
        <f t="shared" si="2"/>
        <v>513912.54</v>
      </c>
      <c r="N17" s="24">
        <f t="shared" si="2"/>
        <v>513912.54</v>
      </c>
      <c r="O17" s="1"/>
      <c r="P17" s="1"/>
      <c r="Q17" s="1"/>
      <c r="R17" s="1"/>
      <c r="S17" s="1"/>
      <c r="T17" s="1"/>
      <c r="U17" s="1"/>
      <c r="V17" s="1"/>
      <c r="W17" s="1"/>
      <c r="X17" s="1"/>
      <c r="Y17" s="1"/>
    </row>
    <row r="18" spans="1:25" ht="12" customHeight="1">
      <c r="A18" s="30"/>
      <c r="B18" s="32"/>
      <c r="C18" s="33"/>
      <c r="D18" s="33"/>
      <c r="E18" s="33"/>
      <c r="F18" s="34"/>
      <c r="G18" s="34"/>
      <c r="H18" s="34"/>
      <c r="I18" s="34"/>
      <c r="J18" s="34"/>
      <c r="K18" s="34"/>
      <c r="L18" s="34"/>
      <c r="M18" s="34"/>
      <c r="N18" s="34"/>
      <c r="O18" s="1"/>
      <c r="P18" s="1"/>
      <c r="Q18" s="1"/>
      <c r="R18" s="1"/>
      <c r="S18" s="1"/>
      <c r="T18" s="1"/>
      <c r="U18" s="1"/>
      <c r="V18" s="1"/>
      <c r="W18" s="1"/>
      <c r="X18" s="1"/>
      <c r="Y18" s="1"/>
    </row>
    <row r="19" spans="1:25" ht="12" customHeight="1">
      <c r="A19" s="2" t="s">
        <v>167</v>
      </c>
      <c r="B19" s="1"/>
      <c r="C19" s="1"/>
      <c r="D19" s="1"/>
      <c r="E19" s="1"/>
      <c r="F19" s="1"/>
      <c r="G19" s="1"/>
      <c r="H19" s="1"/>
      <c r="I19" s="1"/>
      <c r="J19" s="1"/>
      <c r="K19" s="1"/>
      <c r="L19" s="1"/>
      <c r="M19" s="1"/>
      <c r="N19" s="1"/>
      <c r="O19" s="17"/>
      <c r="P19" s="17"/>
      <c r="Q19" s="17"/>
      <c r="R19" s="1"/>
      <c r="S19" s="1"/>
      <c r="T19" s="1"/>
      <c r="U19" s="1"/>
      <c r="V19" s="1"/>
      <c r="W19" s="1"/>
      <c r="X19" s="1"/>
      <c r="Y19" s="1"/>
    </row>
    <row r="20" spans="1:25" s="205" customFormat="1" ht="22.5" customHeight="1">
      <c r="A20" s="289"/>
      <c r="B20" s="282"/>
      <c r="C20" s="243">
        <v>41456</v>
      </c>
      <c r="D20" s="243">
        <v>41487</v>
      </c>
      <c r="E20" s="243">
        <v>41518</v>
      </c>
      <c r="F20" s="243">
        <v>41548</v>
      </c>
      <c r="G20" s="243">
        <v>41579</v>
      </c>
      <c r="H20" s="243">
        <v>41609</v>
      </c>
      <c r="I20" s="243">
        <v>41640</v>
      </c>
      <c r="J20" s="243">
        <v>41671</v>
      </c>
      <c r="K20" s="243">
        <v>41699</v>
      </c>
      <c r="L20" s="243">
        <v>41730</v>
      </c>
      <c r="M20" s="243">
        <v>41760</v>
      </c>
      <c r="N20" s="243">
        <v>41791</v>
      </c>
      <c r="O20" s="258"/>
      <c r="P20" s="247"/>
      <c r="Q20" s="247"/>
      <c r="R20" s="258"/>
      <c r="S20" s="258"/>
      <c r="T20" s="258"/>
      <c r="U20" s="258"/>
      <c r="V20" s="258"/>
      <c r="W20" s="258"/>
      <c r="X20" s="258"/>
      <c r="Y20" s="258"/>
    </row>
    <row r="21" spans="1:25" s="205" customFormat="1" ht="22.5" customHeight="1">
      <c r="A21" s="282"/>
      <c r="B21" s="282"/>
      <c r="C21" s="244" t="s">
        <v>43</v>
      </c>
      <c r="D21" s="245" t="s">
        <v>44</v>
      </c>
      <c r="E21" s="246" t="s">
        <v>45</v>
      </c>
      <c r="F21" s="246" t="s">
        <v>46</v>
      </c>
      <c r="G21" s="246" t="s">
        <v>47</v>
      </c>
      <c r="H21" s="246" t="s">
        <v>48</v>
      </c>
      <c r="I21" s="246" t="s">
        <v>49</v>
      </c>
      <c r="J21" s="246" t="s">
        <v>50</v>
      </c>
      <c r="K21" s="246" t="s">
        <v>51</v>
      </c>
      <c r="L21" s="246" t="s">
        <v>52</v>
      </c>
      <c r="M21" s="246" t="s">
        <v>53</v>
      </c>
      <c r="N21" s="246" t="s">
        <v>54</v>
      </c>
      <c r="O21" s="258"/>
      <c r="P21" s="247"/>
      <c r="Q21" s="247"/>
      <c r="R21" s="258"/>
      <c r="S21" s="258"/>
      <c r="T21" s="258"/>
      <c r="U21" s="258"/>
      <c r="V21" s="258"/>
      <c r="W21" s="258"/>
      <c r="X21" s="258"/>
      <c r="Y21" s="258"/>
    </row>
    <row r="22" spans="1:25" ht="12" customHeight="1">
      <c r="A22" s="28" t="s">
        <v>55</v>
      </c>
      <c r="B22" s="291" t="s">
        <v>61</v>
      </c>
      <c r="C22" s="24">
        <v>1163751.79</v>
      </c>
      <c r="D22" s="24">
        <v>1205052.53</v>
      </c>
      <c r="E22" s="24">
        <v>1201863.6299999999</v>
      </c>
      <c r="F22" s="24">
        <v>1944765.86</v>
      </c>
      <c r="G22" s="24">
        <v>1867560.16</v>
      </c>
      <c r="H22" s="24">
        <v>1777808.55</v>
      </c>
      <c r="I22" s="24">
        <v>1853528.05</v>
      </c>
      <c r="J22" s="24">
        <v>1664132.31</v>
      </c>
      <c r="K22" s="24">
        <v>1871749.69</v>
      </c>
      <c r="L22" s="24">
        <v>1959368.68</v>
      </c>
      <c r="M22" s="24">
        <v>1844414.11</v>
      </c>
      <c r="N22" s="24">
        <v>1934543.95</v>
      </c>
      <c r="O22" s="1"/>
      <c r="P22" s="17"/>
      <c r="Q22" s="17"/>
      <c r="R22" s="1"/>
      <c r="S22" s="1"/>
      <c r="T22" s="1"/>
      <c r="U22" s="1"/>
      <c r="V22" s="1"/>
      <c r="W22" s="1"/>
      <c r="X22" s="1"/>
      <c r="Y22" s="1"/>
    </row>
    <row r="23" spans="1:25" ht="12" customHeight="1">
      <c r="A23" s="27"/>
      <c r="B23" s="290" t="s">
        <v>72</v>
      </c>
      <c r="C23" s="24">
        <v>0</v>
      </c>
      <c r="D23" s="24">
        <v>0</v>
      </c>
      <c r="E23" s="24">
        <v>2000000</v>
      </c>
      <c r="F23" s="24">
        <v>0</v>
      </c>
      <c r="G23" s="24">
        <v>0</v>
      </c>
      <c r="H23" s="24">
        <v>0</v>
      </c>
      <c r="I23" s="24">
        <v>0</v>
      </c>
      <c r="J23" s="24">
        <v>0</v>
      </c>
      <c r="K23" s="24">
        <v>0</v>
      </c>
      <c r="L23" s="24">
        <v>0</v>
      </c>
      <c r="M23" s="24">
        <v>0</v>
      </c>
      <c r="N23" s="24">
        <v>0</v>
      </c>
      <c r="O23" s="17"/>
      <c r="P23" s="17"/>
      <c r="Q23" s="17"/>
      <c r="R23" s="1"/>
      <c r="S23" s="1"/>
      <c r="T23" s="1"/>
      <c r="U23" s="1"/>
      <c r="V23" s="1"/>
      <c r="W23" s="1"/>
      <c r="X23" s="1"/>
      <c r="Y23" s="1"/>
    </row>
    <row r="24" spans="1:25" ht="12" customHeight="1">
      <c r="A24" s="27"/>
      <c r="B24" s="291" t="s">
        <v>62</v>
      </c>
      <c r="C24" s="24">
        <v>1702274.92</v>
      </c>
      <c r="D24" s="24">
        <v>1683992.33</v>
      </c>
      <c r="E24" s="24">
        <v>1739769.62</v>
      </c>
      <c r="F24" s="24">
        <v>1700166.42</v>
      </c>
      <c r="G24" s="24">
        <v>1517831.22</v>
      </c>
      <c r="H24" s="24">
        <v>1513406.8</v>
      </c>
      <c r="I24" s="24">
        <v>1513230.89</v>
      </c>
      <c r="J24" s="24">
        <v>1497036.87</v>
      </c>
      <c r="K24" s="24">
        <v>1544204.74</v>
      </c>
      <c r="L24" s="24">
        <v>1518397.84</v>
      </c>
      <c r="M24" s="24">
        <v>1510242.96</v>
      </c>
      <c r="N24" s="24">
        <v>1942252.78</v>
      </c>
      <c r="O24" s="1"/>
      <c r="P24" s="17"/>
      <c r="Q24" s="17"/>
      <c r="R24" s="1"/>
      <c r="S24" s="1"/>
      <c r="T24" s="1"/>
      <c r="U24" s="1"/>
      <c r="V24" s="1"/>
      <c r="W24" s="1"/>
      <c r="X24" s="1"/>
      <c r="Y24" s="1"/>
    </row>
    <row r="25" spans="1:25" ht="12" customHeight="1">
      <c r="A25" s="28"/>
      <c r="B25" s="290" t="s">
        <v>63</v>
      </c>
      <c r="C25" s="24">
        <v>4920</v>
      </c>
      <c r="D25" s="24">
        <v>4920</v>
      </c>
      <c r="E25" s="24">
        <v>4920</v>
      </c>
      <c r="F25" s="24">
        <v>4920</v>
      </c>
      <c r="G25" s="24">
        <v>4920</v>
      </c>
      <c r="H25" s="24">
        <v>4920</v>
      </c>
      <c r="I25" s="24">
        <v>4920</v>
      </c>
      <c r="J25" s="24">
        <v>324920</v>
      </c>
      <c r="K25" s="24">
        <v>4920</v>
      </c>
      <c r="L25" s="24">
        <v>4920</v>
      </c>
      <c r="M25" s="24">
        <v>4920</v>
      </c>
      <c r="N25" s="24">
        <v>4920</v>
      </c>
      <c r="O25" s="1"/>
      <c r="P25" s="17"/>
      <c r="Q25" s="17"/>
      <c r="R25" s="1"/>
      <c r="S25" s="1"/>
      <c r="T25" s="1"/>
      <c r="U25" s="1"/>
      <c r="V25" s="1"/>
      <c r="W25" s="1"/>
      <c r="X25" s="1"/>
      <c r="Y25" s="1"/>
    </row>
    <row r="26" spans="1:25" ht="12" customHeight="1">
      <c r="A26" s="28"/>
      <c r="B26" s="291" t="s">
        <v>59</v>
      </c>
      <c r="C26" s="24">
        <v>2870946.71</v>
      </c>
      <c r="D26" s="24">
        <v>2893964.8600000003</v>
      </c>
      <c r="E26" s="24">
        <v>4946553.25</v>
      </c>
      <c r="F26" s="24">
        <v>3649852.2800000003</v>
      </c>
      <c r="G26" s="24">
        <v>3390311.38</v>
      </c>
      <c r="H26" s="24">
        <v>3296135.35</v>
      </c>
      <c r="I26" s="24">
        <v>3371678.94</v>
      </c>
      <c r="J26" s="24">
        <v>3486089.18</v>
      </c>
      <c r="K26" s="24">
        <v>3420874.4299999997</v>
      </c>
      <c r="L26" s="24">
        <v>3482686.52</v>
      </c>
      <c r="M26" s="24">
        <v>3359577.0700000003</v>
      </c>
      <c r="N26" s="24">
        <v>3881716.73</v>
      </c>
      <c r="O26" s="1"/>
      <c r="P26" s="17"/>
      <c r="Q26" s="17"/>
      <c r="R26" s="1"/>
      <c r="S26" s="1"/>
      <c r="T26" s="1"/>
      <c r="U26" s="1"/>
      <c r="V26" s="1"/>
      <c r="W26" s="1"/>
      <c r="X26" s="1"/>
      <c r="Y26" s="1"/>
    </row>
    <row r="27" spans="1:25" ht="12" customHeight="1">
      <c r="A27" s="28"/>
      <c r="B27" s="291"/>
      <c r="C27" s="24"/>
      <c r="D27" s="24"/>
      <c r="E27" s="24"/>
      <c r="F27" s="24"/>
      <c r="G27" s="24"/>
      <c r="H27" s="24"/>
      <c r="I27" s="24"/>
      <c r="J27" s="24"/>
      <c r="K27" s="24"/>
      <c r="L27" s="24"/>
      <c r="M27" s="24"/>
      <c r="N27" s="24"/>
      <c r="O27" s="1"/>
      <c r="P27" s="17"/>
      <c r="Q27" s="17"/>
      <c r="R27" s="1"/>
      <c r="S27" s="1"/>
      <c r="T27" s="1"/>
      <c r="U27" s="1"/>
      <c r="V27" s="1"/>
      <c r="W27" s="1"/>
      <c r="X27" s="1"/>
      <c r="Y27" s="1"/>
    </row>
    <row r="28" spans="1:25" ht="12" customHeight="1">
      <c r="A28" s="28" t="s">
        <v>69</v>
      </c>
      <c r="B28" s="290" t="s">
        <v>61</v>
      </c>
      <c r="C28" s="24">
        <v>5664147.5</v>
      </c>
      <c r="D28" s="24">
        <v>5902636.3799999999</v>
      </c>
      <c r="E28" s="24">
        <v>4823114.5999999996</v>
      </c>
      <c r="F28" s="24">
        <v>4430305.0599999996</v>
      </c>
      <c r="G28" s="24">
        <v>4282143.8099999996</v>
      </c>
      <c r="H28" s="24">
        <v>5743215.29</v>
      </c>
      <c r="I28" s="24">
        <v>4842126.8600000003</v>
      </c>
      <c r="J28" s="24">
        <v>5112540.46</v>
      </c>
      <c r="K28" s="24">
        <v>5570254.9000000004</v>
      </c>
      <c r="L28" s="24">
        <v>5408179.1699999999</v>
      </c>
      <c r="M28" s="24">
        <v>5525259.2800000003</v>
      </c>
      <c r="N28" s="24">
        <v>5914799.1500000004</v>
      </c>
      <c r="O28" s="1"/>
      <c r="P28" s="17"/>
      <c r="Q28" s="17"/>
      <c r="R28" s="1"/>
      <c r="S28" s="1"/>
      <c r="T28" s="1"/>
      <c r="U28" s="1"/>
      <c r="V28" s="1"/>
      <c r="W28" s="1"/>
      <c r="X28" s="1"/>
      <c r="Y28" s="1"/>
    </row>
    <row r="29" spans="1:25" ht="12" customHeight="1">
      <c r="A29" s="28"/>
      <c r="B29" s="291" t="s">
        <v>72</v>
      </c>
      <c r="C29" s="24">
        <v>775958.73</v>
      </c>
      <c r="D29" s="24">
        <v>773964.63</v>
      </c>
      <c r="E29" s="24">
        <v>6182094.2000000002</v>
      </c>
      <c r="F29" s="24">
        <v>8644420.9199999999</v>
      </c>
      <c r="G29" s="24">
        <v>8539649.3200000003</v>
      </c>
      <c r="H29" s="24">
        <v>1057461.83</v>
      </c>
      <c r="I29" s="24">
        <v>0</v>
      </c>
      <c r="J29" s="24">
        <v>0</v>
      </c>
      <c r="K29" s="24">
        <v>0</v>
      </c>
      <c r="L29" s="24">
        <v>0</v>
      </c>
      <c r="M29" s="24">
        <v>186344.09</v>
      </c>
      <c r="N29" s="24">
        <v>1460568.46</v>
      </c>
      <c r="O29" s="1"/>
      <c r="P29" s="17"/>
      <c r="Q29" s="17"/>
      <c r="R29" s="1"/>
      <c r="S29" s="1"/>
      <c r="T29" s="1"/>
      <c r="U29" s="1"/>
      <c r="V29" s="1"/>
      <c r="W29" s="1"/>
      <c r="X29" s="1"/>
      <c r="Y29" s="1"/>
    </row>
    <row r="30" spans="1:25" ht="12" customHeight="1">
      <c r="A30" s="27"/>
      <c r="B30" s="290" t="s">
        <v>62</v>
      </c>
      <c r="C30" s="24">
        <v>3429296.78</v>
      </c>
      <c r="D30" s="24">
        <v>3552180.83</v>
      </c>
      <c r="E30" s="24">
        <v>3543279.36</v>
      </c>
      <c r="F30" s="24">
        <v>4555466.68</v>
      </c>
      <c r="G30" s="24">
        <v>3500779.36</v>
      </c>
      <c r="H30" s="24">
        <v>4575466.68</v>
      </c>
      <c r="I30" s="24">
        <v>3605466.68</v>
      </c>
      <c r="J30" s="24">
        <v>3386393.77</v>
      </c>
      <c r="K30" s="24">
        <v>4689043.8600000003</v>
      </c>
      <c r="L30" s="24">
        <v>4534160.49</v>
      </c>
      <c r="M30" s="24">
        <v>4608043.8600000003</v>
      </c>
      <c r="N30" s="24">
        <v>4554160.49</v>
      </c>
      <c r="O30" s="1"/>
      <c r="P30" s="17"/>
      <c r="Q30" s="17"/>
      <c r="R30" s="1"/>
      <c r="S30" s="1"/>
      <c r="T30" s="1"/>
      <c r="U30" s="1"/>
      <c r="V30" s="1"/>
      <c r="W30" s="1"/>
      <c r="X30" s="1"/>
      <c r="Y30" s="1"/>
    </row>
    <row r="31" spans="1:25" ht="12" customHeight="1">
      <c r="A31" s="28"/>
      <c r="B31" s="291" t="s">
        <v>63</v>
      </c>
      <c r="C31" s="24">
        <v>286639.74</v>
      </c>
      <c r="D31" s="24">
        <v>279149.92</v>
      </c>
      <c r="E31" s="24">
        <v>327965.09999999998</v>
      </c>
      <c r="F31" s="24">
        <v>283743.65999999997</v>
      </c>
      <c r="G31" s="24">
        <v>279756.18</v>
      </c>
      <c r="H31" s="24">
        <v>340444.11</v>
      </c>
      <c r="I31" s="24">
        <v>290069.11</v>
      </c>
      <c r="J31" s="24">
        <v>270919.78000000003</v>
      </c>
      <c r="K31" s="24">
        <v>305647.25</v>
      </c>
      <c r="L31" s="24">
        <v>279929.87</v>
      </c>
      <c r="M31" s="24">
        <v>288621.32</v>
      </c>
      <c r="N31" s="24">
        <v>299979.45</v>
      </c>
      <c r="O31" s="1"/>
      <c r="P31" s="1"/>
      <c r="Q31" s="17"/>
      <c r="R31" s="1"/>
      <c r="S31" s="1"/>
      <c r="T31" s="1"/>
      <c r="U31" s="1"/>
      <c r="V31" s="1"/>
      <c r="W31" s="1"/>
      <c r="X31" s="1"/>
      <c r="Y31" s="1"/>
    </row>
    <row r="32" spans="1:25" ht="12" customHeight="1">
      <c r="A32" s="28"/>
      <c r="B32" s="291" t="s">
        <v>59</v>
      </c>
      <c r="C32" s="24">
        <v>10156042.75</v>
      </c>
      <c r="D32" s="24">
        <v>10507931.76</v>
      </c>
      <c r="E32" s="24">
        <v>14876453.26</v>
      </c>
      <c r="F32" s="24">
        <v>17913936.32</v>
      </c>
      <c r="G32" s="24">
        <v>16602328.669999998</v>
      </c>
      <c r="H32" s="24">
        <v>11716587.91</v>
      </c>
      <c r="I32" s="24">
        <v>8737662.6500000004</v>
      </c>
      <c r="J32" s="24">
        <v>8769854.0099999998</v>
      </c>
      <c r="K32" s="24">
        <v>10564946.010000002</v>
      </c>
      <c r="L32" s="24">
        <v>10222269.529999999</v>
      </c>
      <c r="M32" s="24">
        <v>10608268.550000001</v>
      </c>
      <c r="N32" s="24">
        <v>12229507.550000001</v>
      </c>
      <c r="O32" s="1"/>
      <c r="P32" s="17"/>
      <c r="Q32" s="17"/>
      <c r="R32" s="1"/>
      <c r="S32" s="1"/>
      <c r="T32" s="1"/>
      <c r="U32" s="1"/>
      <c r="V32" s="1"/>
      <c r="W32" s="1"/>
      <c r="X32" s="1"/>
      <c r="Y32" s="1"/>
    </row>
    <row r="33" spans="1:25" ht="12" customHeight="1">
      <c r="A33" s="28"/>
      <c r="B33" s="291"/>
      <c r="C33" s="24"/>
      <c r="D33" s="24"/>
      <c r="E33" s="24"/>
      <c r="F33" s="24"/>
      <c r="G33" s="24"/>
      <c r="H33" s="24"/>
      <c r="I33" s="24"/>
      <c r="J33" s="24"/>
      <c r="K33" s="24"/>
      <c r="L33" s="24"/>
      <c r="M33" s="24"/>
      <c r="N33" s="24"/>
      <c r="O33" s="1"/>
      <c r="P33" s="17"/>
      <c r="Q33" s="17"/>
      <c r="R33" s="1"/>
      <c r="S33" s="1"/>
      <c r="T33" s="1"/>
      <c r="U33" s="1"/>
      <c r="V33" s="1"/>
      <c r="W33" s="1"/>
      <c r="X33" s="1"/>
      <c r="Y33" s="1"/>
    </row>
    <row r="34" spans="1:25" ht="12" customHeight="1">
      <c r="A34" s="28" t="s">
        <v>84</v>
      </c>
      <c r="B34" s="290" t="s">
        <v>61</v>
      </c>
      <c r="C34" s="24">
        <v>1691621.28</v>
      </c>
      <c r="D34" s="24">
        <v>2019945.56</v>
      </c>
      <c r="E34" s="24">
        <v>1170171.69</v>
      </c>
      <c r="F34" s="24">
        <v>1750021.69</v>
      </c>
      <c r="G34" s="24">
        <v>1978695.97</v>
      </c>
      <c r="H34" s="24">
        <v>717371.69</v>
      </c>
      <c r="I34" s="24">
        <v>1684365.86</v>
      </c>
      <c r="J34" s="24">
        <v>1686994.49</v>
      </c>
      <c r="K34" s="24">
        <v>1118740.6000000001</v>
      </c>
      <c r="L34" s="24">
        <v>1716859.25</v>
      </c>
      <c r="M34" s="24">
        <v>1676759.25</v>
      </c>
      <c r="N34" s="24">
        <v>1977919.89</v>
      </c>
      <c r="O34" s="1"/>
      <c r="P34" s="1"/>
      <c r="Q34" s="1"/>
      <c r="R34" s="1"/>
      <c r="S34" s="1"/>
      <c r="T34" s="1"/>
      <c r="U34" s="1"/>
      <c r="V34" s="1"/>
      <c r="W34" s="1"/>
      <c r="X34" s="1"/>
      <c r="Y34" s="1"/>
    </row>
    <row r="35" spans="1:25" ht="12" customHeight="1">
      <c r="A35" s="27"/>
      <c r="B35" s="291" t="s">
        <v>72</v>
      </c>
      <c r="C35" s="24">
        <v>1352393.2</v>
      </c>
      <c r="D35" s="24">
        <v>1520000</v>
      </c>
      <c r="E35" s="24">
        <v>1458448.41</v>
      </c>
      <c r="F35" s="24">
        <v>0</v>
      </c>
      <c r="G35" s="24">
        <v>2318549.4</v>
      </c>
      <c r="H35" s="24">
        <v>0</v>
      </c>
      <c r="I35" s="24">
        <v>542440</v>
      </c>
      <c r="J35" s="24">
        <v>80000</v>
      </c>
      <c r="K35" s="24">
        <v>80000</v>
      </c>
      <c r="L35" s="24">
        <v>1864767.76</v>
      </c>
      <c r="M35" s="24">
        <v>745022.79</v>
      </c>
      <c r="N35" s="24">
        <v>1320000</v>
      </c>
      <c r="O35" s="1"/>
      <c r="P35" s="1"/>
      <c r="Q35" s="1"/>
      <c r="R35" s="1"/>
      <c r="S35" s="1"/>
      <c r="T35" s="1"/>
      <c r="U35" s="1"/>
      <c r="V35" s="1"/>
      <c r="W35" s="1"/>
      <c r="X35" s="1"/>
      <c r="Y35" s="1"/>
    </row>
    <row r="36" spans="1:25" ht="12" customHeight="1">
      <c r="A36" s="28"/>
      <c r="B36" s="290" t="s">
        <v>62</v>
      </c>
      <c r="C36" s="24">
        <v>2092939.36</v>
      </c>
      <c r="D36" s="24">
        <v>1064675.96</v>
      </c>
      <c r="E36" s="24">
        <v>1872555.37</v>
      </c>
      <c r="F36" s="24">
        <v>1061309.17</v>
      </c>
      <c r="G36" s="24">
        <v>1845898.24</v>
      </c>
      <c r="H36" s="24">
        <v>1064575.6299999999</v>
      </c>
      <c r="I36" s="24">
        <v>1060058.96</v>
      </c>
      <c r="J36" s="24">
        <v>990415.33</v>
      </c>
      <c r="K36" s="24">
        <v>1077448.42</v>
      </c>
      <c r="L36" s="24">
        <v>843418.54</v>
      </c>
      <c r="M36" s="24">
        <v>1994622.83</v>
      </c>
      <c r="N36" s="24">
        <v>1045604.04</v>
      </c>
      <c r="O36" s="1"/>
      <c r="P36" s="1"/>
      <c r="Q36" s="1"/>
      <c r="R36" s="1"/>
      <c r="S36" s="1"/>
      <c r="T36" s="1"/>
      <c r="U36" s="1"/>
      <c r="V36" s="1"/>
      <c r="W36" s="1"/>
      <c r="X36" s="1"/>
      <c r="Y36" s="1"/>
    </row>
    <row r="37" spans="1:25" ht="12" customHeight="1">
      <c r="A37" s="28"/>
      <c r="B37" s="291" t="s">
        <v>63</v>
      </c>
      <c r="C37" s="24">
        <v>169291.3</v>
      </c>
      <c r="D37" s="24">
        <v>169291.3</v>
      </c>
      <c r="E37" s="24">
        <v>196658.26</v>
      </c>
      <c r="F37" s="24">
        <v>171381.84</v>
      </c>
      <c r="G37" s="24">
        <v>168636.99</v>
      </c>
      <c r="H37" s="24">
        <v>243551.84</v>
      </c>
      <c r="I37" s="24">
        <v>170751.84</v>
      </c>
      <c r="J37" s="24">
        <v>126594.06</v>
      </c>
      <c r="K37" s="24">
        <v>132322.37</v>
      </c>
      <c r="L37" s="24">
        <v>130202.93</v>
      </c>
      <c r="M37" s="24">
        <v>132322.37</v>
      </c>
      <c r="N37" s="24">
        <v>200832.93</v>
      </c>
      <c r="O37" s="1"/>
      <c r="P37" s="1"/>
      <c r="Q37" s="1"/>
      <c r="R37" s="1"/>
      <c r="S37" s="1"/>
      <c r="T37" s="1"/>
      <c r="U37" s="1"/>
      <c r="V37" s="1"/>
      <c r="W37" s="1"/>
      <c r="X37" s="1"/>
      <c r="Y37" s="1"/>
    </row>
    <row r="38" spans="1:25" ht="12" customHeight="1">
      <c r="A38" s="27"/>
      <c r="B38" s="290" t="s">
        <v>59</v>
      </c>
      <c r="C38" s="24">
        <v>5306245.1399999997</v>
      </c>
      <c r="D38" s="24">
        <v>4773912.8199999994</v>
      </c>
      <c r="E38" s="24">
        <v>4697833.7299999995</v>
      </c>
      <c r="F38" s="24">
        <v>2982712.6999999997</v>
      </c>
      <c r="G38" s="24">
        <v>6311780.6000000006</v>
      </c>
      <c r="H38" s="24">
        <v>2025499.16</v>
      </c>
      <c r="I38" s="24">
        <v>3457616.66</v>
      </c>
      <c r="J38" s="24">
        <v>2884003.88</v>
      </c>
      <c r="K38" s="24">
        <v>2408511.39</v>
      </c>
      <c r="L38" s="24">
        <v>4555248.4799999995</v>
      </c>
      <c r="M38" s="24">
        <v>4548727.24</v>
      </c>
      <c r="N38" s="24">
        <v>4544356.8599999994</v>
      </c>
      <c r="O38" s="1"/>
      <c r="P38" s="1"/>
      <c r="Q38" s="1"/>
      <c r="R38" s="1"/>
      <c r="S38" s="1"/>
      <c r="T38" s="1"/>
      <c r="U38" s="1"/>
      <c r="V38" s="1"/>
      <c r="W38" s="1"/>
      <c r="X38" s="1"/>
      <c r="Y38" s="1"/>
    </row>
    <row r="39" spans="1:25" ht="12" customHeight="1">
      <c r="A39" s="35"/>
      <c r="B39" s="36"/>
      <c r="C39" s="34"/>
      <c r="D39" s="34"/>
      <c r="E39" s="34"/>
      <c r="F39" s="34"/>
      <c r="G39" s="34"/>
      <c r="H39" s="34"/>
      <c r="I39" s="34"/>
      <c r="J39" s="34"/>
      <c r="K39" s="34"/>
      <c r="L39" s="34"/>
      <c r="M39" s="34"/>
      <c r="N39" s="34"/>
      <c r="O39" s="1"/>
      <c r="P39" s="1"/>
      <c r="Q39" s="1"/>
      <c r="R39" s="1"/>
      <c r="S39" s="1"/>
      <c r="T39" s="1"/>
      <c r="U39" s="1"/>
      <c r="V39" s="1"/>
      <c r="W39" s="1"/>
      <c r="X39" s="1"/>
      <c r="Y39" s="1"/>
    </row>
    <row r="40" spans="1:25" s="205" customFormat="1" ht="24.75" customHeight="1">
      <c r="A40" s="248"/>
      <c r="B40" s="249"/>
      <c r="C40" s="243">
        <v>41456</v>
      </c>
      <c r="D40" s="243">
        <v>41487</v>
      </c>
      <c r="E40" s="243">
        <v>41518</v>
      </c>
      <c r="F40" s="243">
        <v>41548</v>
      </c>
      <c r="G40" s="243">
        <v>41579</v>
      </c>
      <c r="H40" s="243">
        <v>41609</v>
      </c>
      <c r="I40" s="243">
        <v>41640</v>
      </c>
      <c r="J40" s="243">
        <v>41671</v>
      </c>
      <c r="K40" s="243">
        <v>41699</v>
      </c>
      <c r="L40" s="243">
        <v>41730</v>
      </c>
      <c r="M40" s="243">
        <v>41760</v>
      </c>
      <c r="N40" s="243">
        <v>41791</v>
      </c>
      <c r="O40" s="258"/>
      <c r="P40" s="258"/>
      <c r="Q40" s="258"/>
      <c r="R40" s="258"/>
      <c r="S40" s="258"/>
      <c r="T40" s="258"/>
      <c r="U40" s="258"/>
      <c r="V40" s="258"/>
      <c r="W40" s="258"/>
      <c r="X40" s="258"/>
      <c r="Y40" s="258"/>
    </row>
    <row r="41" spans="1:25" s="205" customFormat="1" ht="24.75" customHeight="1">
      <c r="A41" s="248"/>
      <c r="B41" s="249"/>
      <c r="C41" s="244" t="s">
        <v>43</v>
      </c>
      <c r="D41" s="245" t="s">
        <v>44</v>
      </c>
      <c r="E41" s="246" t="s">
        <v>45</v>
      </c>
      <c r="F41" s="246" t="s">
        <v>46</v>
      </c>
      <c r="G41" s="246" t="s">
        <v>47</v>
      </c>
      <c r="H41" s="246" t="s">
        <v>48</v>
      </c>
      <c r="I41" s="246" t="s">
        <v>49</v>
      </c>
      <c r="J41" s="246" t="s">
        <v>50</v>
      </c>
      <c r="K41" s="246" t="s">
        <v>51</v>
      </c>
      <c r="L41" s="246" t="s">
        <v>52</v>
      </c>
      <c r="M41" s="246" t="s">
        <v>53</v>
      </c>
      <c r="N41" s="246" t="s">
        <v>54</v>
      </c>
      <c r="O41" s="258"/>
      <c r="P41" s="258"/>
      <c r="Q41" s="258"/>
      <c r="R41" s="258"/>
      <c r="S41" s="258"/>
      <c r="T41" s="258"/>
      <c r="U41" s="258"/>
      <c r="V41" s="258"/>
      <c r="W41" s="258"/>
      <c r="X41" s="258"/>
      <c r="Y41" s="258"/>
    </row>
    <row r="42" spans="1:25" ht="12" customHeight="1">
      <c r="A42" s="38" t="s">
        <v>168</v>
      </c>
      <c r="B42" s="290" t="s">
        <v>61</v>
      </c>
      <c r="C42" s="24">
        <f>SUMIFS(C$22:C$38,$B$22:$B$38,$B42)</f>
        <v>8519520.5700000003</v>
      </c>
      <c r="D42" s="24">
        <v>9127634.4700000007</v>
      </c>
      <c r="E42" s="24">
        <v>7195149.9199999999</v>
      </c>
      <c r="F42" s="24">
        <v>8125092.6099999994</v>
      </c>
      <c r="G42" s="24">
        <v>8128399.9399999995</v>
      </c>
      <c r="H42" s="24">
        <v>8238395.5299999993</v>
      </c>
      <c r="I42" s="24">
        <v>8380020.7700000005</v>
      </c>
      <c r="J42" s="24">
        <v>8463667.2599999998</v>
      </c>
      <c r="K42" s="24">
        <v>8560745.1899999995</v>
      </c>
      <c r="L42" s="24">
        <v>9084407.0999999996</v>
      </c>
      <c r="M42" s="24">
        <v>9046432.6400000006</v>
      </c>
      <c r="N42" s="24">
        <v>9827262.9900000002</v>
      </c>
      <c r="O42" s="1"/>
      <c r="P42" s="1"/>
      <c r="Q42" s="1"/>
      <c r="R42" s="1"/>
      <c r="S42" s="1"/>
      <c r="T42" s="1"/>
      <c r="U42" s="1"/>
      <c r="V42" s="1"/>
      <c r="W42" s="1"/>
      <c r="X42" s="1"/>
      <c r="Y42" s="1"/>
    </row>
    <row r="43" spans="1:25" ht="12" customHeight="1">
      <c r="A43" s="35"/>
      <c r="B43" s="290" t="s">
        <v>72</v>
      </c>
      <c r="C43" s="24">
        <f>SUMIFS($C$22:$C$38,$B$22:$B$38,$B43)</f>
        <v>2128351.9299999997</v>
      </c>
      <c r="D43" s="24">
        <v>2293964.63</v>
      </c>
      <c r="E43" s="24">
        <v>9640542.6099999994</v>
      </c>
      <c r="F43" s="24">
        <v>8644420.9199999999</v>
      </c>
      <c r="G43" s="24">
        <v>10858198.720000001</v>
      </c>
      <c r="H43" s="24">
        <v>1057461.83</v>
      </c>
      <c r="I43" s="24">
        <v>542440</v>
      </c>
      <c r="J43" s="24">
        <v>80000</v>
      </c>
      <c r="K43" s="24">
        <v>80000</v>
      </c>
      <c r="L43" s="24">
        <v>1864767.76</v>
      </c>
      <c r="M43" s="24">
        <v>931366.88</v>
      </c>
      <c r="N43" s="24">
        <v>2780568.46</v>
      </c>
      <c r="O43" s="1"/>
      <c r="P43" s="1"/>
      <c r="Q43" s="1"/>
      <c r="R43" s="1"/>
      <c r="S43" s="1"/>
      <c r="T43" s="1"/>
      <c r="U43" s="1"/>
      <c r="V43" s="1"/>
      <c r="W43" s="1"/>
      <c r="X43" s="1"/>
      <c r="Y43" s="1"/>
    </row>
    <row r="44" spans="1:25" ht="12" customHeight="1">
      <c r="A44" s="35"/>
      <c r="B44" s="290" t="s">
        <v>62</v>
      </c>
      <c r="C44" s="24">
        <f>SUMIFS($C$22:$C$38,$B$22:$B$38,$B44)</f>
        <v>7224511.0599999996</v>
      </c>
      <c r="D44" s="24">
        <v>6300849.1200000001</v>
      </c>
      <c r="E44" s="24">
        <v>7155604.3500000006</v>
      </c>
      <c r="F44" s="24">
        <v>7316942.2699999996</v>
      </c>
      <c r="G44" s="24">
        <v>6864508.8200000003</v>
      </c>
      <c r="H44" s="24">
        <v>7153449.1099999994</v>
      </c>
      <c r="I44" s="24">
        <v>6178756.5300000003</v>
      </c>
      <c r="J44" s="24">
        <v>5873845.9700000007</v>
      </c>
      <c r="K44" s="24">
        <v>7310697.0200000005</v>
      </c>
      <c r="L44" s="24">
        <v>6895976.8700000001</v>
      </c>
      <c r="M44" s="24">
        <v>8112909.6500000004</v>
      </c>
      <c r="N44" s="24">
        <v>7542017.3100000005</v>
      </c>
      <c r="O44" s="1"/>
      <c r="P44" s="1"/>
      <c r="Q44" s="1"/>
      <c r="R44" s="1"/>
      <c r="S44" s="1"/>
      <c r="T44" s="1"/>
      <c r="U44" s="1"/>
      <c r="V44" s="1"/>
      <c r="W44" s="1"/>
      <c r="X44" s="1"/>
      <c r="Y44" s="1"/>
    </row>
    <row r="45" spans="1:25" ht="12" customHeight="1">
      <c r="A45" s="35"/>
      <c r="B45" s="290" t="s">
        <v>63</v>
      </c>
      <c r="C45" s="24">
        <f>SUMIFS($C$22:$C$38,$B$22:$B$38,$B45)</f>
        <v>460851.04</v>
      </c>
      <c r="D45" s="24">
        <v>453361.22</v>
      </c>
      <c r="E45" s="24">
        <v>529543.36</v>
      </c>
      <c r="F45" s="24">
        <v>460045.5</v>
      </c>
      <c r="G45" s="24">
        <v>453313.17</v>
      </c>
      <c r="H45" s="24">
        <v>588915.94999999995</v>
      </c>
      <c r="I45" s="24">
        <v>465740.94999999995</v>
      </c>
      <c r="J45" s="24">
        <v>722433.84000000008</v>
      </c>
      <c r="K45" s="24">
        <v>442889.62</v>
      </c>
      <c r="L45" s="24">
        <v>415052.79999999999</v>
      </c>
      <c r="M45" s="24">
        <v>425863.69</v>
      </c>
      <c r="N45" s="24">
        <v>505732.38</v>
      </c>
      <c r="O45" s="1"/>
      <c r="P45" s="1"/>
      <c r="Q45" s="1"/>
      <c r="R45" s="1"/>
      <c r="S45" s="1"/>
      <c r="T45" s="1"/>
      <c r="U45" s="1"/>
      <c r="V45" s="1"/>
      <c r="W45" s="1"/>
      <c r="X45" s="1"/>
      <c r="Y45" s="1"/>
    </row>
    <row r="46" spans="1:25" ht="12" customHeight="1">
      <c r="A46" s="35"/>
      <c r="B46" s="36"/>
      <c r="C46" s="34">
        <f>SUM(C42:C45)</f>
        <v>18333234.599999998</v>
      </c>
      <c r="D46" s="34">
        <f t="shared" ref="D46:N46" si="3">SUM(D42:D45)</f>
        <v>18175809.440000001</v>
      </c>
      <c r="E46" s="34">
        <f t="shared" si="3"/>
        <v>24520840.240000002</v>
      </c>
      <c r="F46" s="34">
        <f t="shared" si="3"/>
        <v>24546501.299999997</v>
      </c>
      <c r="G46" s="34">
        <f t="shared" si="3"/>
        <v>26304420.650000002</v>
      </c>
      <c r="H46" s="34">
        <f t="shared" si="3"/>
        <v>17038222.419999998</v>
      </c>
      <c r="I46" s="34">
        <f t="shared" si="3"/>
        <v>15566958.25</v>
      </c>
      <c r="J46" s="34">
        <f t="shared" si="3"/>
        <v>15139947.07</v>
      </c>
      <c r="K46" s="34">
        <f t="shared" si="3"/>
        <v>16394331.83</v>
      </c>
      <c r="L46" s="34">
        <f t="shared" si="3"/>
        <v>18260204.530000001</v>
      </c>
      <c r="M46" s="34">
        <f t="shared" si="3"/>
        <v>18516572.860000003</v>
      </c>
      <c r="N46" s="34">
        <f t="shared" si="3"/>
        <v>20655581.139999997</v>
      </c>
      <c r="O46" s="1"/>
      <c r="P46" s="1"/>
      <c r="Q46" s="1"/>
      <c r="R46" s="1"/>
      <c r="S46" s="1"/>
      <c r="T46" s="1"/>
      <c r="U46" s="1"/>
      <c r="V46" s="1"/>
      <c r="W46" s="1"/>
      <c r="X46" s="1"/>
      <c r="Y46" s="1"/>
    </row>
    <row r="47" spans="1:25" ht="12" customHeight="1">
      <c r="A47" s="35"/>
      <c r="B47" s="36"/>
      <c r="C47" s="34"/>
      <c r="D47" s="34"/>
      <c r="E47" s="34"/>
      <c r="F47" s="34"/>
      <c r="G47" s="34"/>
      <c r="H47" s="34"/>
      <c r="I47" s="34"/>
      <c r="J47" s="34"/>
      <c r="K47" s="34"/>
      <c r="L47" s="34"/>
      <c r="M47" s="34"/>
      <c r="N47" s="34"/>
      <c r="O47" s="1"/>
      <c r="P47" s="1"/>
      <c r="Q47" s="1"/>
      <c r="R47" s="1"/>
      <c r="S47" s="1"/>
      <c r="T47" s="1"/>
      <c r="U47" s="1"/>
      <c r="V47" s="1"/>
      <c r="W47" s="1"/>
      <c r="X47" s="1"/>
      <c r="Y47" s="1"/>
    </row>
    <row r="48" spans="1:25" ht="12" customHeight="1">
      <c r="A48" s="35"/>
      <c r="B48" s="36"/>
      <c r="C48" s="34"/>
      <c r="D48" s="34"/>
      <c r="E48" s="34"/>
      <c r="F48" s="34"/>
      <c r="G48" s="34"/>
      <c r="H48" s="34"/>
      <c r="I48" s="34"/>
      <c r="J48" s="34"/>
      <c r="K48" s="34"/>
      <c r="L48" s="34"/>
      <c r="M48" s="34"/>
      <c r="N48" s="34"/>
      <c r="O48" s="1"/>
      <c r="P48" s="1"/>
      <c r="Q48" s="1"/>
      <c r="R48" s="1"/>
      <c r="S48" s="1"/>
      <c r="T48" s="1"/>
      <c r="U48" s="1"/>
      <c r="V48" s="1"/>
      <c r="W48" s="1"/>
      <c r="X48" s="1"/>
      <c r="Y48" s="1"/>
    </row>
    <row r="49" spans="1:25" ht="12" customHeight="1">
      <c r="A49" s="35"/>
      <c r="B49" s="36"/>
      <c r="C49" s="34"/>
      <c r="D49" s="34"/>
      <c r="E49" s="34"/>
      <c r="F49" s="34"/>
      <c r="G49" s="34"/>
      <c r="H49" s="34"/>
      <c r="I49" s="34"/>
      <c r="J49" s="34"/>
      <c r="K49" s="34"/>
      <c r="L49" s="34"/>
      <c r="M49" s="34"/>
      <c r="N49" s="34"/>
      <c r="O49" s="1"/>
      <c r="P49" s="1"/>
      <c r="Q49" s="1"/>
      <c r="R49" s="1"/>
      <c r="S49" s="1"/>
      <c r="T49" s="1"/>
      <c r="U49" s="1"/>
      <c r="V49" s="1"/>
      <c r="W49" s="1"/>
      <c r="X49" s="1"/>
      <c r="Y49" s="1"/>
    </row>
    <row r="50" spans="1:25" ht="12" customHeight="1">
      <c r="A50" s="35"/>
      <c r="B50" s="36"/>
      <c r="C50" s="34"/>
      <c r="D50" s="34"/>
      <c r="E50" s="34"/>
      <c r="F50" s="34"/>
      <c r="G50" s="34"/>
      <c r="H50" s="34"/>
      <c r="I50" s="34"/>
      <c r="J50" s="34"/>
      <c r="K50" s="34"/>
      <c r="L50" s="34"/>
      <c r="M50" s="34"/>
      <c r="N50" s="34"/>
      <c r="O50" s="1"/>
      <c r="P50" s="1"/>
      <c r="Q50" s="1"/>
      <c r="R50" s="1"/>
      <c r="S50" s="1"/>
      <c r="T50" s="1"/>
      <c r="U50" s="1"/>
      <c r="V50" s="1"/>
      <c r="W50" s="1"/>
      <c r="X50" s="1"/>
      <c r="Y50" s="1"/>
    </row>
    <row r="51" spans="1:25" ht="12" customHeight="1">
      <c r="A51" s="35"/>
      <c r="B51" s="36"/>
      <c r="C51" s="34"/>
      <c r="D51" s="34"/>
      <c r="E51" s="34"/>
      <c r="F51" s="34"/>
      <c r="G51" s="34"/>
      <c r="H51" s="34"/>
      <c r="I51" s="34"/>
      <c r="J51" s="34"/>
      <c r="K51" s="34"/>
      <c r="L51" s="34"/>
      <c r="M51" s="34"/>
      <c r="N51" s="34"/>
      <c r="O51" s="1"/>
      <c r="P51" s="1"/>
      <c r="Q51" s="1"/>
      <c r="R51" s="1"/>
      <c r="S51" s="1"/>
      <c r="T51" s="1"/>
      <c r="U51" s="1"/>
      <c r="V51" s="1"/>
      <c r="W51" s="1"/>
      <c r="X51" s="1"/>
      <c r="Y51" s="1"/>
    </row>
    <row r="52" spans="1:25" ht="12" customHeight="1">
      <c r="A52" s="35"/>
      <c r="B52" s="36"/>
      <c r="C52" s="34"/>
      <c r="D52" s="34"/>
      <c r="E52" s="34"/>
      <c r="F52" s="34"/>
      <c r="G52" s="34"/>
      <c r="H52" s="34"/>
      <c r="I52" s="34"/>
      <c r="J52" s="34"/>
      <c r="K52" s="34"/>
      <c r="L52" s="34"/>
      <c r="M52" s="34"/>
      <c r="N52" s="34"/>
      <c r="O52" s="1"/>
      <c r="P52" s="1"/>
      <c r="Q52" s="1"/>
      <c r="R52" s="1"/>
      <c r="S52" s="1"/>
      <c r="T52" s="1"/>
      <c r="U52" s="1"/>
      <c r="V52" s="1"/>
      <c r="W52" s="1"/>
      <c r="X52" s="1"/>
      <c r="Y52" s="1"/>
    </row>
    <row r="53" spans="1:25" ht="12" customHeight="1">
      <c r="A53" s="35"/>
      <c r="B53" s="66"/>
      <c r="C53" s="66"/>
      <c r="D53" s="66"/>
      <c r="E53" s="66"/>
      <c r="F53" s="66"/>
      <c r="G53" s="66"/>
      <c r="H53" s="66"/>
      <c r="I53" s="66"/>
      <c r="J53" s="66"/>
      <c r="K53" s="66"/>
      <c r="L53" s="66"/>
      <c r="M53" s="66"/>
      <c r="N53" s="66"/>
      <c r="O53" s="1"/>
      <c r="P53" s="1"/>
      <c r="Q53" s="1"/>
      <c r="R53" s="1"/>
      <c r="S53" s="1"/>
      <c r="T53" s="1"/>
      <c r="U53" s="1"/>
      <c r="V53" s="1"/>
      <c r="W53" s="1"/>
      <c r="X53" s="1"/>
      <c r="Y53" s="1"/>
    </row>
    <row r="54" spans="1:25" ht="12" customHeight="1">
      <c r="A54" s="35"/>
      <c r="B54" s="66"/>
      <c r="C54" s="66"/>
      <c r="D54" s="66"/>
      <c r="E54" s="66"/>
      <c r="F54" s="66"/>
      <c r="G54" s="66"/>
      <c r="H54" s="66"/>
      <c r="I54" s="66"/>
      <c r="J54" s="66"/>
      <c r="K54" s="66"/>
      <c r="L54" s="66"/>
      <c r="M54" s="66"/>
      <c r="N54" s="66"/>
      <c r="O54" s="1"/>
      <c r="P54" s="1"/>
      <c r="Q54" s="1"/>
      <c r="R54" s="1"/>
      <c r="S54" s="1"/>
      <c r="T54" s="1"/>
      <c r="U54" s="1"/>
      <c r="V54" s="1"/>
      <c r="W54" s="1"/>
      <c r="X54" s="1"/>
      <c r="Y54" s="1"/>
    </row>
    <row r="55" spans="1:25" ht="12" customHeight="1">
      <c r="A55" s="35"/>
      <c r="B55" s="66"/>
      <c r="C55" s="66"/>
      <c r="D55" s="66"/>
      <c r="E55" s="66"/>
      <c r="F55" s="66"/>
      <c r="G55" s="66"/>
      <c r="H55" s="66"/>
      <c r="I55" s="66"/>
      <c r="J55" s="66"/>
      <c r="K55" s="66"/>
      <c r="L55" s="66"/>
      <c r="M55" s="66"/>
      <c r="N55" s="66"/>
      <c r="O55" s="1"/>
      <c r="P55" s="1"/>
      <c r="Q55" s="1"/>
      <c r="R55" s="1"/>
      <c r="S55" s="1"/>
      <c r="T55" s="1"/>
      <c r="U55" s="1"/>
      <c r="V55" s="1"/>
      <c r="W55" s="1"/>
      <c r="X55" s="1"/>
      <c r="Y55" s="1"/>
    </row>
    <row r="56" spans="1:25" ht="12" customHeight="1">
      <c r="A56" s="36"/>
      <c r="B56" s="66"/>
      <c r="C56" s="66"/>
      <c r="D56" s="66"/>
      <c r="E56" s="66"/>
      <c r="F56" s="66"/>
      <c r="G56" s="66"/>
      <c r="H56" s="66"/>
      <c r="I56" s="66"/>
      <c r="J56" s="66"/>
      <c r="K56" s="66"/>
      <c r="L56" s="66"/>
      <c r="M56" s="66"/>
      <c r="N56" s="66"/>
      <c r="O56" s="1"/>
      <c r="P56" s="1"/>
      <c r="Q56" s="1"/>
      <c r="R56" s="1"/>
      <c r="S56" s="1"/>
      <c r="T56" s="1"/>
      <c r="U56" s="1"/>
      <c r="V56" s="1"/>
      <c r="W56" s="1"/>
      <c r="X56" s="1"/>
      <c r="Y56" s="1"/>
    </row>
    <row r="57" spans="1:25" ht="12" customHeight="1">
      <c r="A57" s="35"/>
      <c r="B57" s="66"/>
      <c r="C57" s="66"/>
      <c r="D57" s="66"/>
      <c r="E57" s="66"/>
      <c r="F57" s="66"/>
      <c r="G57" s="66"/>
      <c r="H57" s="66"/>
      <c r="I57" s="66"/>
      <c r="J57" s="66"/>
      <c r="K57" s="66"/>
      <c r="L57" s="66"/>
      <c r="M57" s="66"/>
      <c r="N57" s="66"/>
      <c r="O57" s="1"/>
      <c r="P57" s="1"/>
      <c r="Q57" s="1"/>
      <c r="R57" s="1"/>
      <c r="S57" s="1"/>
      <c r="T57" s="1"/>
      <c r="U57" s="1"/>
      <c r="V57" s="1"/>
      <c r="W57" s="1"/>
      <c r="X57" s="1"/>
      <c r="Y57" s="1"/>
    </row>
    <row r="58" spans="1:25" ht="12" customHeight="1">
      <c r="A58" s="35"/>
      <c r="B58" s="66"/>
      <c r="C58" s="66"/>
      <c r="D58" s="66"/>
      <c r="E58" s="66"/>
      <c r="F58" s="66"/>
      <c r="G58" s="66"/>
      <c r="H58" s="66"/>
      <c r="I58" s="66"/>
      <c r="J58" s="66"/>
      <c r="K58" s="66"/>
      <c r="L58" s="66"/>
      <c r="M58" s="66"/>
      <c r="N58" s="66"/>
      <c r="O58" s="1"/>
      <c r="P58" s="1"/>
      <c r="Q58" s="1"/>
      <c r="R58" s="1"/>
      <c r="S58" s="1"/>
      <c r="T58" s="1"/>
      <c r="U58" s="1"/>
      <c r="V58" s="1"/>
      <c r="W58" s="1"/>
      <c r="X58" s="1"/>
      <c r="Y58" s="1"/>
    </row>
    <row r="59" spans="1:25" ht="12" customHeight="1">
      <c r="A59" s="35"/>
      <c r="B59" s="66"/>
      <c r="C59" s="66"/>
      <c r="D59" s="66"/>
      <c r="E59" s="66"/>
      <c r="F59" s="66"/>
      <c r="G59" s="66"/>
      <c r="H59" s="66"/>
      <c r="I59" s="66"/>
      <c r="J59" s="66"/>
      <c r="K59" s="66"/>
      <c r="L59" s="66"/>
      <c r="M59" s="66"/>
      <c r="N59" s="66"/>
      <c r="O59" s="1"/>
      <c r="P59" s="1"/>
      <c r="Q59" s="1"/>
      <c r="R59" s="1"/>
      <c r="S59" s="1"/>
      <c r="T59" s="1"/>
      <c r="U59" s="1"/>
      <c r="V59" s="1"/>
      <c r="W59" s="1"/>
      <c r="X59" s="1"/>
      <c r="Y59" s="1"/>
    </row>
    <row r="60" spans="1:25" ht="12" customHeight="1">
      <c r="A60" s="35"/>
      <c r="B60" s="66"/>
      <c r="C60" s="66"/>
      <c r="D60" s="66"/>
      <c r="E60" s="66"/>
      <c r="F60" s="66"/>
      <c r="G60" s="66"/>
      <c r="H60" s="66"/>
      <c r="I60" s="66"/>
      <c r="J60" s="66"/>
      <c r="K60" s="66"/>
      <c r="L60" s="66"/>
      <c r="M60" s="66"/>
      <c r="N60" s="66"/>
      <c r="O60" s="1"/>
      <c r="P60" s="1"/>
      <c r="Q60" s="1"/>
      <c r="R60" s="1"/>
      <c r="S60" s="1"/>
      <c r="T60" s="1"/>
      <c r="U60" s="1"/>
      <c r="V60" s="1"/>
      <c r="W60" s="1"/>
      <c r="X60" s="1"/>
      <c r="Y60" s="1"/>
    </row>
    <row r="61" spans="1:25" ht="12" customHeight="1">
      <c r="A61" s="35"/>
      <c r="B61" s="66"/>
      <c r="C61" s="66"/>
      <c r="D61" s="66"/>
      <c r="E61" s="66"/>
      <c r="F61" s="66"/>
      <c r="G61" s="66"/>
      <c r="H61" s="66"/>
      <c r="I61" s="66"/>
      <c r="J61" s="66"/>
      <c r="K61" s="66"/>
      <c r="L61" s="66"/>
      <c r="M61" s="66"/>
      <c r="N61" s="66"/>
      <c r="O61" s="1"/>
      <c r="P61" s="1"/>
      <c r="Q61" s="1"/>
      <c r="R61" s="1"/>
      <c r="S61" s="1"/>
      <c r="T61" s="1"/>
      <c r="U61" s="1"/>
      <c r="V61" s="1"/>
      <c r="W61" s="1"/>
      <c r="X61" s="1"/>
      <c r="Y61" s="1"/>
    </row>
    <row r="62" spans="1:25" ht="12" customHeight="1">
      <c r="A62" s="35"/>
      <c r="B62" s="66"/>
      <c r="C62" s="66"/>
      <c r="D62" s="66"/>
      <c r="E62" s="66"/>
      <c r="F62" s="66"/>
      <c r="G62" s="66"/>
      <c r="H62" s="66"/>
      <c r="I62" s="66"/>
      <c r="J62" s="66"/>
      <c r="K62" s="66"/>
      <c r="L62" s="66"/>
      <c r="M62" s="66"/>
      <c r="N62" s="66"/>
      <c r="O62" s="1"/>
      <c r="P62" s="1"/>
      <c r="Q62" s="1"/>
      <c r="R62" s="1"/>
      <c r="S62" s="1"/>
      <c r="T62" s="1"/>
      <c r="U62" s="1"/>
      <c r="V62" s="1"/>
      <c r="W62" s="1"/>
      <c r="X62" s="1"/>
      <c r="Y62" s="1"/>
    </row>
    <row r="63" spans="1:25" ht="12" customHeight="1">
      <c r="A63" s="35"/>
      <c r="B63" s="66"/>
      <c r="C63" s="66"/>
      <c r="D63" s="66"/>
      <c r="E63" s="66"/>
      <c r="F63" s="66"/>
      <c r="G63" s="66"/>
      <c r="H63" s="66"/>
      <c r="I63" s="66"/>
      <c r="J63" s="66"/>
      <c r="K63" s="66"/>
      <c r="L63" s="66"/>
      <c r="M63" s="66"/>
      <c r="N63" s="66"/>
      <c r="O63" s="1"/>
      <c r="P63" s="1"/>
      <c r="Q63" s="1"/>
      <c r="R63" s="1"/>
      <c r="S63" s="1"/>
      <c r="T63" s="1"/>
      <c r="U63" s="1"/>
      <c r="V63" s="1"/>
      <c r="W63" s="1"/>
      <c r="X63" s="1"/>
      <c r="Y63" s="1"/>
    </row>
    <row r="64" spans="1:25" ht="12" customHeight="1">
      <c r="A64" s="35"/>
      <c r="B64" s="66"/>
      <c r="C64" s="66"/>
      <c r="D64" s="66"/>
      <c r="E64" s="66"/>
      <c r="F64" s="66"/>
      <c r="G64" s="66"/>
      <c r="H64" s="66"/>
      <c r="I64" s="66"/>
      <c r="J64" s="66"/>
      <c r="K64" s="66"/>
      <c r="L64" s="66"/>
      <c r="M64" s="66"/>
      <c r="N64" s="66"/>
      <c r="O64" s="1"/>
      <c r="P64" s="1"/>
      <c r="Q64" s="1"/>
      <c r="R64" s="1"/>
      <c r="S64" s="1"/>
      <c r="T64" s="1"/>
      <c r="U64" s="1"/>
      <c r="V64" s="1"/>
      <c r="W64" s="1"/>
      <c r="X64" s="1"/>
      <c r="Y64" s="1"/>
    </row>
    <row r="65" spans="1:25" ht="12" customHeight="1">
      <c r="A65" s="35"/>
      <c r="B65" s="66"/>
      <c r="C65" s="66"/>
      <c r="D65" s="66"/>
      <c r="E65" s="66"/>
      <c r="F65" s="66"/>
      <c r="G65" s="66"/>
      <c r="H65" s="66"/>
      <c r="I65" s="66"/>
      <c r="J65" s="66"/>
      <c r="K65" s="66"/>
      <c r="L65" s="66"/>
      <c r="M65" s="66"/>
      <c r="N65" s="66"/>
      <c r="O65" s="1"/>
      <c r="P65" s="1"/>
      <c r="Q65" s="1"/>
      <c r="R65" s="1"/>
      <c r="S65" s="1"/>
      <c r="T65" s="1"/>
      <c r="U65" s="1"/>
      <c r="V65" s="1"/>
      <c r="W65" s="1"/>
      <c r="X65" s="1"/>
      <c r="Y65" s="1"/>
    </row>
    <row r="66" spans="1:25" ht="12" customHeight="1">
      <c r="A66" s="35"/>
      <c r="B66" s="66"/>
      <c r="C66" s="66"/>
      <c r="D66" s="66"/>
      <c r="E66" s="66"/>
      <c r="F66" s="66"/>
      <c r="G66" s="66"/>
      <c r="H66" s="66"/>
      <c r="I66" s="66"/>
      <c r="J66" s="66"/>
      <c r="K66" s="66"/>
      <c r="L66" s="66"/>
      <c r="M66" s="66"/>
      <c r="N66" s="66"/>
      <c r="O66" s="1"/>
      <c r="P66" s="1"/>
      <c r="Q66" s="1"/>
      <c r="R66" s="1"/>
      <c r="S66" s="1"/>
      <c r="T66" s="1"/>
      <c r="U66" s="1"/>
      <c r="V66" s="1"/>
      <c r="W66" s="1"/>
      <c r="X66" s="1"/>
      <c r="Y66" s="1"/>
    </row>
    <row r="67" spans="1:25" ht="12" customHeight="1">
      <c r="A67" s="35"/>
      <c r="B67" s="66"/>
      <c r="C67" s="66"/>
      <c r="D67" s="66"/>
      <c r="E67" s="66"/>
      <c r="F67" s="66"/>
      <c r="G67" s="66"/>
      <c r="H67" s="66"/>
      <c r="I67" s="66"/>
      <c r="J67" s="66"/>
      <c r="K67" s="66"/>
      <c r="L67" s="66"/>
      <c r="M67" s="66"/>
      <c r="N67" s="66"/>
      <c r="O67" s="1"/>
      <c r="P67" s="1"/>
      <c r="Q67" s="1"/>
      <c r="R67" s="1"/>
      <c r="S67" s="1"/>
      <c r="T67" s="1"/>
      <c r="U67" s="1"/>
      <c r="V67" s="1"/>
      <c r="W67" s="1"/>
      <c r="X67" s="1"/>
      <c r="Y67" s="1"/>
    </row>
    <row r="68" spans="1:25" ht="12" customHeight="1">
      <c r="A68" s="35"/>
      <c r="B68" s="66"/>
      <c r="C68" s="66"/>
      <c r="D68" s="66"/>
      <c r="E68" s="66"/>
      <c r="F68" s="66"/>
      <c r="G68" s="66"/>
      <c r="H68" s="66"/>
      <c r="I68" s="66"/>
      <c r="J68" s="66"/>
      <c r="K68" s="66"/>
      <c r="L68" s="66"/>
      <c r="M68" s="66"/>
      <c r="N68" s="66"/>
      <c r="O68" s="1"/>
      <c r="P68" s="1"/>
      <c r="Q68" s="1"/>
      <c r="R68" s="1"/>
      <c r="S68" s="1"/>
      <c r="T68" s="1"/>
      <c r="U68" s="1"/>
      <c r="V68" s="1"/>
      <c r="W68" s="1"/>
      <c r="X68" s="1"/>
      <c r="Y68" s="1"/>
    </row>
    <row r="69" spans="1:25" ht="12" customHeight="1">
      <c r="A69" s="35"/>
      <c r="B69" s="66"/>
      <c r="C69" s="66"/>
      <c r="D69" s="66"/>
      <c r="E69" s="66"/>
      <c r="F69" s="66"/>
      <c r="G69" s="66"/>
      <c r="H69" s="66"/>
      <c r="I69" s="66"/>
      <c r="J69" s="66"/>
      <c r="K69" s="66"/>
      <c r="L69" s="66"/>
      <c r="M69" s="66"/>
      <c r="N69" s="66"/>
      <c r="O69" s="1"/>
      <c r="P69" s="1"/>
      <c r="Q69" s="1"/>
      <c r="R69" s="1"/>
      <c r="S69" s="1"/>
      <c r="T69" s="1"/>
      <c r="U69" s="1"/>
      <c r="V69" s="1"/>
      <c r="W69" s="1"/>
      <c r="X69" s="1"/>
      <c r="Y69" s="1"/>
    </row>
    <row r="70" spans="1:25" ht="12" customHeight="1">
      <c r="A70" s="35"/>
      <c r="B70" s="66"/>
      <c r="C70" s="66"/>
      <c r="D70" s="66"/>
      <c r="E70" s="66"/>
      <c r="F70" s="66"/>
      <c r="G70" s="66"/>
      <c r="H70" s="66"/>
      <c r="I70" s="66"/>
      <c r="J70" s="66"/>
      <c r="K70" s="66"/>
      <c r="L70" s="66"/>
      <c r="M70" s="66"/>
      <c r="N70" s="66"/>
      <c r="O70" s="1"/>
      <c r="P70" s="1"/>
      <c r="Q70" s="1"/>
      <c r="R70" s="1"/>
      <c r="S70" s="1"/>
      <c r="T70" s="1"/>
      <c r="U70" s="1"/>
      <c r="V70" s="1"/>
      <c r="W70" s="1"/>
      <c r="X70" s="1"/>
      <c r="Y70" s="1"/>
    </row>
    <row r="71" spans="1:25" ht="12" customHeight="1">
      <c r="A71" s="35"/>
      <c r="B71" s="66"/>
      <c r="C71" s="66"/>
      <c r="D71" s="66"/>
      <c r="E71" s="66"/>
      <c r="F71" s="66"/>
      <c r="G71" s="66"/>
      <c r="H71" s="66"/>
      <c r="I71" s="66"/>
      <c r="J71" s="66"/>
      <c r="K71" s="66"/>
      <c r="L71" s="66"/>
      <c r="M71" s="66"/>
      <c r="N71" s="66"/>
      <c r="O71" s="1"/>
      <c r="P71" s="1"/>
      <c r="Q71" s="1"/>
      <c r="R71" s="1"/>
      <c r="S71" s="1"/>
      <c r="T71" s="1"/>
      <c r="U71" s="1"/>
      <c r="V71" s="1"/>
      <c r="W71" s="1"/>
      <c r="X71" s="1"/>
      <c r="Y71" s="1"/>
    </row>
    <row r="72" spans="1:25" ht="12" customHeight="1">
      <c r="A72" s="35"/>
      <c r="B72" s="66"/>
      <c r="C72" s="66"/>
      <c r="D72" s="66"/>
      <c r="E72" s="66"/>
      <c r="F72" s="66"/>
      <c r="G72" s="66"/>
      <c r="H72" s="66"/>
      <c r="I72" s="66"/>
      <c r="J72" s="66"/>
      <c r="K72" s="66"/>
      <c r="L72" s="66"/>
      <c r="M72" s="66"/>
      <c r="N72" s="66"/>
      <c r="O72" s="1"/>
      <c r="P72" s="1"/>
      <c r="Q72" s="1"/>
      <c r="R72" s="1"/>
      <c r="S72" s="1"/>
      <c r="T72" s="1"/>
      <c r="U72" s="1"/>
      <c r="V72" s="1"/>
      <c r="W72" s="1"/>
      <c r="X72" s="1"/>
      <c r="Y72" s="1"/>
    </row>
    <row r="73" spans="1:25" ht="12" customHeight="1">
      <c r="A73" s="35"/>
      <c r="B73" s="66"/>
      <c r="C73" s="66"/>
      <c r="D73" s="66"/>
      <c r="E73" s="66"/>
      <c r="F73" s="66"/>
      <c r="G73" s="66"/>
      <c r="H73" s="66"/>
      <c r="I73" s="66"/>
      <c r="J73" s="66"/>
      <c r="K73" s="66"/>
      <c r="L73" s="66"/>
      <c r="M73" s="66"/>
      <c r="N73" s="66"/>
      <c r="O73" s="1"/>
      <c r="P73" s="1"/>
      <c r="Q73" s="1"/>
      <c r="R73" s="1"/>
      <c r="S73" s="1"/>
      <c r="T73" s="1"/>
      <c r="U73" s="1"/>
      <c r="V73" s="1"/>
      <c r="W73" s="1"/>
      <c r="X73" s="1"/>
      <c r="Y73" s="1"/>
    </row>
    <row r="74" spans="1:25" ht="12" customHeight="1">
      <c r="A74" s="35"/>
      <c r="B74" s="66"/>
      <c r="C74" s="66"/>
      <c r="D74" s="66"/>
      <c r="E74" s="66"/>
      <c r="F74" s="66"/>
      <c r="G74" s="66"/>
      <c r="H74" s="66"/>
      <c r="I74" s="66"/>
      <c r="J74" s="66"/>
      <c r="K74" s="66"/>
      <c r="L74" s="66"/>
      <c r="M74" s="66"/>
      <c r="N74" s="66"/>
      <c r="O74" s="1"/>
      <c r="P74" s="1"/>
      <c r="Q74" s="1"/>
      <c r="R74" s="1"/>
      <c r="S74" s="1"/>
      <c r="T74" s="1"/>
      <c r="U74" s="1"/>
      <c r="V74" s="1"/>
      <c r="W74" s="1"/>
      <c r="X74" s="1"/>
      <c r="Y74" s="1"/>
    </row>
    <row r="75" spans="1:25" ht="12" customHeight="1">
      <c r="A75" s="35"/>
      <c r="B75" s="66"/>
      <c r="C75" s="66"/>
      <c r="D75" s="66"/>
      <c r="E75" s="66"/>
      <c r="F75" s="66"/>
      <c r="G75" s="66"/>
      <c r="H75" s="66"/>
      <c r="I75" s="66"/>
      <c r="J75" s="66"/>
      <c r="K75" s="66"/>
      <c r="L75" s="66"/>
      <c r="M75" s="66"/>
      <c r="N75" s="66"/>
      <c r="O75" s="1"/>
      <c r="P75" s="1"/>
      <c r="Q75" s="1"/>
      <c r="R75" s="1"/>
      <c r="S75" s="1"/>
      <c r="T75" s="1"/>
      <c r="U75" s="1"/>
      <c r="V75" s="1"/>
      <c r="W75" s="1"/>
      <c r="X75" s="1"/>
      <c r="Y75" s="1"/>
    </row>
    <row r="76" spans="1:25" ht="12" customHeight="1">
      <c r="A76" s="36"/>
      <c r="B76" s="66"/>
      <c r="C76" s="66"/>
      <c r="D76" s="66"/>
      <c r="E76" s="66"/>
      <c r="F76" s="66"/>
      <c r="G76" s="66"/>
      <c r="H76" s="66"/>
      <c r="I76" s="66"/>
      <c r="J76" s="66"/>
      <c r="K76" s="66"/>
      <c r="L76" s="66"/>
      <c r="M76" s="66"/>
      <c r="N76" s="66"/>
      <c r="O76" s="1"/>
      <c r="P76" s="1"/>
      <c r="Q76" s="1"/>
      <c r="R76" s="1"/>
      <c r="S76" s="1"/>
      <c r="T76" s="1"/>
      <c r="U76" s="1"/>
      <c r="V76" s="1"/>
      <c r="W76" s="1"/>
      <c r="X76" s="1"/>
      <c r="Y76" s="1"/>
    </row>
    <row r="77" spans="1:25" ht="12" customHeight="1">
      <c r="A77" s="35"/>
      <c r="B77" s="66"/>
      <c r="C77" s="66"/>
      <c r="D77" s="66"/>
      <c r="E77" s="66"/>
      <c r="F77" s="66"/>
      <c r="G77" s="66"/>
      <c r="H77" s="66"/>
      <c r="I77" s="66"/>
      <c r="J77" s="66"/>
      <c r="K77" s="66"/>
      <c r="L77" s="66"/>
      <c r="M77" s="66"/>
      <c r="N77" s="66"/>
      <c r="O77" s="1"/>
      <c r="P77" s="1"/>
      <c r="Q77" s="1"/>
      <c r="R77" s="1"/>
      <c r="S77" s="1"/>
      <c r="T77" s="1"/>
      <c r="U77" s="1"/>
      <c r="V77" s="1"/>
      <c r="W77" s="1"/>
      <c r="X77" s="1"/>
      <c r="Y77" s="1"/>
    </row>
    <row r="78" spans="1:25" ht="12" customHeight="1">
      <c r="A78" s="35"/>
      <c r="B78" s="66"/>
      <c r="C78" s="66"/>
      <c r="D78" s="66"/>
      <c r="E78" s="66"/>
      <c r="F78" s="66"/>
      <c r="G78" s="66"/>
      <c r="H78" s="66"/>
      <c r="I78" s="66"/>
      <c r="J78" s="66"/>
      <c r="K78" s="66"/>
      <c r="L78" s="66"/>
      <c r="M78" s="66"/>
      <c r="N78" s="66"/>
      <c r="O78" s="1"/>
      <c r="P78" s="1"/>
      <c r="Q78" s="1"/>
      <c r="R78" s="1"/>
      <c r="S78" s="1"/>
      <c r="T78" s="1"/>
      <c r="U78" s="1"/>
      <c r="V78" s="1"/>
      <c r="W78" s="1"/>
      <c r="X78" s="1"/>
      <c r="Y78" s="1"/>
    </row>
    <row r="79" spans="1:25" ht="12" customHeight="1">
      <c r="A79" s="35"/>
      <c r="B79" s="36"/>
      <c r="C79" s="34"/>
      <c r="D79" s="34"/>
      <c r="E79" s="34"/>
      <c r="F79" s="34"/>
      <c r="G79" s="34"/>
      <c r="H79" s="34"/>
      <c r="I79" s="34"/>
      <c r="J79" s="34"/>
      <c r="K79" s="34"/>
      <c r="L79" s="34"/>
      <c r="M79" s="34"/>
      <c r="N79" s="34"/>
      <c r="O79" s="1"/>
      <c r="P79" s="1"/>
      <c r="Q79" s="1"/>
      <c r="R79" s="1"/>
      <c r="S79" s="1"/>
      <c r="T79" s="1"/>
      <c r="U79" s="1"/>
      <c r="V79" s="1"/>
      <c r="W79" s="1"/>
      <c r="X79" s="1"/>
      <c r="Y79" s="1"/>
    </row>
    <row r="80" spans="1:25" ht="12" customHeight="1">
      <c r="A80" s="35"/>
      <c r="B80" s="36"/>
      <c r="C80" s="34"/>
      <c r="D80" s="34"/>
      <c r="E80" s="34"/>
      <c r="F80" s="34"/>
      <c r="G80" s="34"/>
      <c r="H80" s="34"/>
      <c r="I80" s="34"/>
      <c r="J80" s="34"/>
      <c r="K80" s="34"/>
      <c r="L80" s="34"/>
      <c r="M80" s="34"/>
      <c r="N80" s="34"/>
      <c r="O80" s="1"/>
      <c r="P80" s="1"/>
      <c r="Q80" s="1"/>
      <c r="R80" s="1"/>
      <c r="S80" s="1"/>
      <c r="T80" s="1"/>
      <c r="U80" s="1"/>
      <c r="V80" s="1"/>
      <c r="W80" s="1"/>
      <c r="X80" s="1"/>
      <c r="Y80" s="1"/>
    </row>
    <row r="81" spans="1:25" ht="12" customHeight="1">
      <c r="A81" s="35"/>
      <c r="B81" s="36"/>
      <c r="C81" s="34"/>
      <c r="D81" s="34"/>
      <c r="E81" s="34"/>
      <c r="F81" s="34"/>
      <c r="G81" s="34"/>
      <c r="H81" s="34"/>
      <c r="I81" s="34"/>
      <c r="J81" s="34"/>
      <c r="K81" s="34"/>
      <c r="L81" s="34"/>
      <c r="M81" s="34"/>
      <c r="N81" s="34"/>
      <c r="O81" s="1"/>
      <c r="P81" s="1"/>
      <c r="Q81" s="1"/>
      <c r="R81" s="1"/>
      <c r="S81" s="1"/>
      <c r="T81" s="1"/>
      <c r="U81" s="1"/>
      <c r="V81" s="1"/>
      <c r="W81" s="1"/>
      <c r="X81" s="1"/>
      <c r="Y81" s="1"/>
    </row>
    <row r="82" spans="1:25" ht="12" customHeight="1">
      <c r="A82" s="35"/>
      <c r="B82" s="36"/>
      <c r="C82" s="34"/>
      <c r="D82" s="34"/>
      <c r="E82" s="34"/>
      <c r="F82" s="34"/>
      <c r="G82" s="34"/>
      <c r="H82" s="34"/>
      <c r="I82" s="34"/>
      <c r="J82" s="34"/>
      <c r="K82" s="34"/>
      <c r="L82" s="34"/>
      <c r="M82" s="34"/>
      <c r="N82" s="34"/>
      <c r="O82" s="1"/>
      <c r="P82" s="1"/>
      <c r="Q82" s="1"/>
      <c r="R82" s="1"/>
      <c r="S82" s="1"/>
      <c r="T82" s="1"/>
      <c r="U82" s="1"/>
      <c r="V82" s="1"/>
      <c r="W82" s="1"/>
      <c r="X82" s="1"/>
      <c r="Y82" s="1"/>
    </row>
    <row r="83" spans="1:25" ht="12" customHeight="1">
      <c r="A83" s="35"/>
      <c r="B83" s="36"/>
      <c r="C83" s="34"/>
      <c r="D83" s="34"/>
      <c r="E83" s="34"/>
      <c r="F83" s="34"/>
      <c r="G83" s="34"/>
      <c r="H83" s="34"/>
      <c r="I83" s="34"/>
      <c r="J83" s="34"/>
      <c r="K83" s="34"/>
      <c r="L83" s="34"/>
      <c r="M83" s="34"/>
      <c r="N83" s="34"/>
      <c r="O83" s="1"/>
      <c r="P83" s="1"/>
      <c r="Q83" s="1"/>
      <c r="R83" s="1"/>
      <c r="S83" s="1"/>
      <c r="T83" s="1"/>
      <c r="U83" s="1"/>
      <c r="V83" s="1"/>
      <c r="W83" s="1"/>
      <c r="X83" s="1"/>
      <c r="Y83" s="1"/>
    </row>
    <row r="84" spans="1:25" ht="12" customHeight="1">
      <c r="A84" s="35"/>
      <c r="B84" s="36"/>
      <c r="C84" s="34"/>
      <c r="D84" s="34"/>
      <c r="E84" s="34"/>
      <c r="F84" s="34"/>
      <c r="G84" s="34"/>
      <c r="H84" s="34"/>
      <c r="I84" s="34"/>
      <c r="J84" s="34"/>
      <c r="K84" s="34"/>
      <c r="L84" s="34"/>
      <c r="M84" s="34"/>
      <c r="N84" s="34"/>
      <c r="O84" s="1"/>
      <c r="P84" s="1"/>
      <c r="Q84" s="1"/>
      <c r="R84" s="1"/>
      <c r="S84" s="1"/>
      <c r="T84" s="1"/>
      <c r="U84" s="1"/>
      <c r="V84" s="1"/>
      <c r="W84" s="1"/>
      <c r="X84" s="1"/>
      <c r="Y84" s="1"/>
    </row>
    <row r="85" spans="1:25" ht="12" customHeight="1">
      <c r="A85" s="35"/>
      <c r="B85" s="40"/>
      <c r="C85" s="41"/>
      <c r="D85" s="41"/>
      <c r="E85" s="41"/>
      <c r="F85" s="41"/>
      <c r="G85" s="41"/>
      <c r="H85" s="41"/>
      <c r="I85" s="41"/>
      <c r="J85" s="41"/>
      <c r="K85" s="41"/>
      <c r="L85" s="41"/>
      <c r="M85" s="41"/>
      <c r="N85" s="41"/>
      <c r="O85" s="1"/>
      <c r="P85" s="1"/>
      <c r="Q85" s="1"/>
      <c r="R85" s="1"/>
      <c r="S85" s="1"/>
      <c r="T85" s="1"/>
      <c r="U85" s="1"/>
      <c r="V85" s="1"/>
      <c r="W85" s="1"/>
      <c r="X85" s="1"/>
      <c r="Y85" s="1"/>
    </row>
    <row r="86" spans="1:25" ht="12" customHeight="1">
      <c r="A86" s="36"/>
      <c r="B86" s="36"/>
      <c r="C86" s="34"/>
      <c r="D86" s="34"/>
      <c r="E86" s="34"/>
      <c r="F86" s="34"/>
      <c r="G86" s="34"/>
      <c r="H86" s="34"/>
      <c r="I86" s="34"/>
      <c r="J86" s="34"/>
      <c r="K86" s="34"/>
      <c r="L86" s="34"/>
      <c r="M86" s="34"/>
      <c r="N86" s="34"/>
      <c r="O86" s="1"/>
      <c r="P86" s="1"/>
      <c r="Q86" s="1"/>
      <c r="R86" s="1"/>
      <c r="S86" s="1"/>
      <c r="T86" s="1"/>
      <c r="U86" s="1"/>
      <c r="V86" s="1"/>
      <c r="W86" s="1"/>
      <c r="X86" s="1"/>
      <c r="Y86" s="1"/>
    </row>
    <row r="87" spans="1:25" ht="12" customHeight="1">
      <c r="A87" s="35"/>
      <c r="B87" s="36"/>
      <c r="C87" s="34"/>
      <c r="D87" s="34"/>
      <c r="E87" s="34"/>
      <c r="F87" s="34"/>
      <c r="G87" s="34"/>
      <c r="H87" s="34"/>
      <c r="I87" s="34"/>
      <c r="J87" s="34"/>
      <c r="K87" s="34"/>
      <c r="L87" s="34"/>
      <c r="M87" s="34"/>
      <c r="N87" s="34"/>
      <c r="O87" s="1"/>
      <c r="P87" s="1"/>
      <c r="Q87" s="1"/>
      <c r="R87" s="1"/>
      <c r="S87" s="1"/>
      <c r="T87" s="1"/>
      <c r="U87" s="1"/>
      <c r="V87" s="1"/>
      <c r="W87" s="1"/>
      <c r="X87" s="1"/>
      <c r="Y87" s="1"/>
    </row>
    <row r="88" spans="1:25" ht="12" customHeight="1">
      <c r="A88" s="35"/>
      <c r="B88" s="36"/>
      <c r="C88" s="34"/>
      <c r="D88" s="34"/>
      <c r="E88" s="34"/>
      <c r="F88" s="34"/>
      <c r="G88" s="34"/>
      <c r="H88" s="34"/>
      <c r="I88" s="34"/>
      <c r="J88" s="34"/>
      <c r="K88" s="34"/>
      <c r="L88" s="34"/>
      <c r="M88" s="34"/>
      <c r="N88" s="34"/>
      <c r="O88" s="1"/>
      <c r="P88" s="1"/>
      <c r="Q88" s="1"/>
      <c r="R88" s="1"/>
      <c r="S88" s="1"/>
      <c r="T88" s="1"/>
      <c r="U88" s="1"/>
      <c r="V88" s="1"/>
      <c r="W88" s="1"/>
      <c r="X88" s="1"/>
      <c r="Y88" s="1"/>
    </row>
    <row r="89" spans="1:25" ht="12" customHeight="1">
      <c r="A89" s="35"/>
      <c r="B89" s="36"/>
      <c r="C89" s="34"/>
      <c r="D89" s="34"/>
      <c r="E89" s="34"/>
      <c r="F89" s="34"/>
      <c r="G89" s="34"/>
      <c r="H89" s="34"/>
      <c r="I89" s="34"/>
      <c r="J89" s="34"/>
      <c r="K89" s="34"/>
      <c r="L89" s="34"/>
      <c r="M89" s="34"/>
      <c r="N89" s="34"/>
      <c r="O89" s="1"/>
      <c r="P89" s="1"/>
      <c r="Q89" s="1"/>
      <c r="R89" s="1"/>
      <c r="S89" s="1"/>
      <c r="T89" s="1"/>
      <c r="U89" s="1"/>
      <c r="V89" s="1"/>
      <c r="W89" s="1"/>
      <c r="X89" s="1"/>
      <c r="Y89" s="1"/>
    </row>
    <row r="90" spans="1:25" ht="12" customHeight="1">
      <c r="A90" s="35"/>
      <c r="B90" s="36"/>
      <c r="C90" s="34"/>
      <c r="D90" s="34"/>
      <c r="E90" s="34"/>
      <c r="F90" s="34"/>
      <c r="G90" s="34"/>
      <c r="H90" s="34"/>
      <c r="I90" s="34"/>
      <c r="J90" s="34"/>
      <c r="K90" s="34"/>
      <c r="L90" s="34"/>
      <c r="M90" s="34"/>
      <c r="N90" s="34"/>
      <c r="O90" s="1"/>
      <c r="P90" s="1"/>
      <c r="Q90" s="1"/>
      <c r="R90" s="1"/>
      <c r="S90" s="1"/>
      <c r="T90" s="1"/>
      <c r="U90" s="1"/>
      <c r="V90" s="1"/>
      <c r="W90" s="1"/>
      <c r="X90" s="1"/>
      <c r="Y90" s="1"/>
    </row>
    <row r="91" spans="1:25" ht="12" customHeight="1">
      <c r="A91" s="35"/>
      <c r="B91" s="36"/>
      <c r="C91" s="34"/>
      <c r="D91" s="34"/>
      <c r="E91" s="34"/>
      <c r="F91" s="34"/>
      <c r="G91" s="34"/>
      <c r="H91" s="34"/>
      <c r="I91" s="34"/>
      <c r="J91" s="34"/>
      <c r="K91" s="34"/>
      <c r="L91" s="34"/>
      <c r="M91" s="34"/>
      <c r="N91" s="34"/>
      <c r="O91" s="1"/>
      <c r="P91" s="1"/>
      <c r="Q91" s="1"/>
      <c r="R91" s="1"/>
      <c r="S91" s="1"/>
      <c r="T91" s="1"/>
      <c r="U91" s="1"/>
      <c r="V91" s="1"/>
      <c r="W91" s="1"/>
      <c r="X91" s="1"/>
      <c r="Y91" s="1"/>
    </row>
    <row r="92" spans="1:25" ht="12" customHeight="1">
      <c r="A92" s="35"/>
      <c r="B92" s="36"/>
      <c r="C92" s="34"/>
      <c r="D92" s="34"/>
      <c r="E92" s="34"/>
      <c r="F92" s="34"/>
      <c r="G92" s="34"/>
      <c r="H92" s="34"/>
      <c r="I92" s="34"/>
      <c r="J92" s="34"/>
      <c r="K92" s="34"/>
      <c r="L92" s="34"/>
      <c r="M92" s="34"/>
      <c r="N92" s="34"/>
      <c r="O92" s="1"/>
      <c r="P92" s="1"/>
      <c r="Q92" s="1"/>
      <c r="R92" s="1"/>
      <c r="S92" s="1"/>
      <c r="T92" s="1"/>
      <c r="U92" s="1"/>
      <c r="V92" s="1"/>
      <c r="W92" s="1"/>
      <c r="X92" s="1"/>
      <c r="Y92" s="1"/>
    </row>
    <row r="93" spans="1:25" ht="12" customHeight="1">
      <c r="A93" s="35"/>
      <c r="B93" s="36"/>
      <c r="C93" s="34"/>
      <c r="D93" s="34"/>
      <c r="E93" s="34"/>
      <c r="F93" s="34"/>
      <c r="G93" s="34"/>
      <c r="H93" s="34"/>
      <c r="I93" s="34"/>
      <c r="J93" s="34"/>
      <c r="K93" s="34"/>
      <c r="L93" s="34"/>
      <c r="M93" s="34"/>
      <c r="N93" s="34"/>
      <c r="O93" s="1"/>
      <c r="P93" s="1"/>
      <c r="Q93" s="1"/>
      <c r="R93" s="1"/>
      <c r="S93" s="1"/>
      <c r="T93" s="1"/>
      <c r="U93" s="1"/>
      <c r="V93" s="1"/>
      <c r="W93" s="1"/>
      <c r="X93" s="1"/>
      <c r="Y93" s="1"/>
    </row>
    <row r="94" spans="1:25" ht="12" customHeight="1">
      <c r="A94" s="35"/>
      <c r="B94" s="36"/>
      <c r="C94" s="34"/>
      <c r="D94" s="34"/>
      <c r="E94" s="34"/>
      <c r="F94" s="34"/>
      <c r="G94" s="34"/>
      <c r="H94" s="34"/>
      <c r="I94" s="34"/>
      <c r="J94" s="34"/>
      <c r="K94" s="34"/>
      <c r="L94" s="34"/>
      <c r="M94" s="34"/>
      <c r="N94" s="34"/>
      <c r="O94" s="1"/>
      <c r="P94" s="1"/>
      <c r="Q94" s="1"/>
      <c r="R94" s="1"/>
      <c r="S94" s="1"/>
      <c r="T94" s="1"/>
      <c r="U94" s="1"/>
      <c r="V94" s="1"/>
      <c r="W94" s="1"/>
      <c r="X94" s="1"/>
      <c r="Y94" s="1"/>
    </row>
    <row r="95" spans="1:25" ht="12" customHeight="1">
      <c r="A95" s="35"/>
      <c r="B95" s="36"/>
      <c r="C95" s="34"/>
      <c r="D95" s="34"/>
      <c r="E95" s="34"/>
      <c r="F95" s="34"/>
      <c r="G95" s="34"/>
      <c r="H95" s="34"/>
      <c r="I95" s="34"/>
      <c r="J95" s="34"/>
      <c r="K95" s="34"/>
      <c r="L95" s="34"/>
      <c r="M95" s="34"/>
      <c r="N95" s="34"/>
      <c r="O95" s="1"/>
      <c r="P95" s="1"/>
      <c r="Q95" s="1"/>
      <c r="R95" s="1"/>
      <c r="S95" s="1"/>
      <c r="T95" s="1"/>
      <c r="U95" s="1"/>
      <c r="V95" s="1"/>
      <c r="W95" s="1"/>
      <c r="X95" s="1"/>
      <c r="Y95" s="1"/>
    </row>
    <row r="96" spans="1:25" ht="12" customHeight="1">
      <c r="A96" s="35"/>
      <c r="B96" s="36"/>
      <c r="C96" s="34"/>
      <c r="D96" s="34"/>
      <c r="E96" s="34"/>
      <c r="F96" s="34"/>
      <c r="G96" s="34"/>
      <c r="H96" s="34"/>
      <c r="I96" s="34"/>
      <c r="J96" s="34"/>
      <c r="K96" s="34"/>
      <c r="L96" s="34"/>
      <c r="M96" s="34"/>
      <c r="N96" s="34"/>
      <c r="O96" s="1"/>
      <c r="P96" s="1"/>
      <c r="Q96" s="1"/>
      <c r="R96" s="1"/>
      <c r="S96" s="1"/>
      <c r="T96" s="1"/>
      <c r="U96" s="1"/>
      <c r="V96" s="1"/>
      <c r="W96" s="1"/>
      <c r="X96" s="1"/>
      <c r="Y96" s="1"/>
    </row>
    <row r="97" spans="1:25" ht="12" customHeight="1">
      <c r="A97" s="35"/>
      <c r="B97" s="36"/>
      <c r="C97" s="34"/>
      <c r="D97" s="34"/>
      <c r="E97" s="34"/>
      <c r="F97" s="34"/>
      <c r="G97" s="34"/>
      <c r="H97" s="34"/>
      <c r="I97" s="34"/>
      <c r="J97" s="34"/>
      <c r="K97" s="34"/>
      <c r="L97" s="34"/>
      <c r="M97" s="34"/>
      <c r="N97" s="34"/>
      <c r="O97" s="1"/>
      <c r="P97" s="1"/>
      <c r="Q97" s="1"/>
      <c r="R97" s="1"/>
      <c r="S97" s="1"/>
      <c r="T97" s="1"/>
      <c r="U97" s="1"/>
      <c r="V97" s="1"/>
      <c r="W97" s="1"/>
      <c r="X97" s="1"/>
      <c r="Y97" s="1"/>
    </row>
    <row r="98" spans="1:25" ht="12" customHeight="1">
      <c r="A98" s="35"/>
      <c r="B98" s="40"/>
      <c r="C98" s="41"/>
      <c r="D98" s="41"/>
      <c r="E98" s="41"/>
      <c r="F98" s="41"/>
      <c r="G98" s="41"/>
      <c r="H98" s="41"/>
      <c r="I98" s="41"/>
      <c r="J98" s="41"/>
      <c r="K98" s="41"/>
      <c r="L98" s="41"/>
      <c r="M98" s="41"/>
      <c r="N98" s="41"/>
      <c r="O98" s="1"/>
      <c r="P98" s="1"/>
      <c r="Q98" s="1"/>
      <c r="R98" s="1"/>
      <c r="S98" s="1"/>
      <c r="T98" s="1"/>
      <c r="U98" s="1"/>
      <c r="V98" s="1"/>
      <c r="W98" s="1"/>
      <c r="X98" s="1"/>
      <c r="Y98" s="1"/>
    </row>
    <row r="99" spans="1:25" ht="12" customHeight="1">
      <c r="A99" s="36"/>
      <c r="B99" s="36"/>
      <c r="C99" s="34"/>
      <c r="D99" s="34"/>
      <c r="E99" s="34"/>
      <c r="F99" s="34"/>
      <c r="G99" s="34"/>
      <c r="H99" s="34"/>
      <c r="I99" s="34"/>
      <c r="J99" s="34"/>
      <c r="K99" s="34"/>
      <c r="L99" s="34"/>
      <c r="M99" s="34"/>
      <c r="N99" s="34"/>
      <c r="O99" s="1"/>
      <c r="P99" s="1"/>
      <c r="Q99" s="1"/>
      <c r="R99" s="1"/>
      <c r="S99" s="1"/>
      <c r="T99" s="1"/>
      <c r="U99" s="1"/>
      <c r="V99" s="1"/>
      <c r="W99" s="1"/>
      <c r="X99" s="1"/>
      <c r="Y99" s="1"/>
    </row>
    <row r="100" spans="1:25" ht="12" customHeight="1">
      <c r="A100" s="35"/>
      <c r="B100" s="36"/>
      <c r="C100" s="34"/>
      <c r="D100" s="34"/>
      <c r="E100" s="34"/>
      <c r="F100" s="34"/>
      <c r="G100" s="34"/>
      <c r="H100" s="34"/>
      <c r="I100" s="34"/>
      <c r="J100" s="34"/>
      <c r="K100" s="34"/>
      <c r="L100" s="34"/>
      <c r="M100" s="34"/>
      <c r="N100" s="34"/>
      <c r="O100" s="1"/>
      <c r="P100" s="1"/>
      <c r="Q100" s="1"/>
      <c r="R100" s="1"/>
      <c r="S100" s="1"/>
      <c r="T100" s="1"/>
      <c r="U100" s="1"/>
      <c r="V100" s="1"/>
      <c r="W100" s="1"/>
      <c r="X100" s="1"/>
      <c r="Y100" s="1"/>
    </row>
    <row r="101" spans="1:25" ht="12" customHeight="1">
      <c r="A101" s="35"/>
      <c r="B101" s="36"/>
      <c r="C101" s="34"/>
      <c r="D101" s="34"/>
      <c r="E101" s="34"/>
      <c r="F101" s="34"/>
      <c r="G101" s="34"/>
      <c r="H101" s="34"/>
      <c r="I101" s="34"/>
      <c r="J101" s="34"/>
      <c r="K101" s="34"/>
      <c r="L101" s="34"/>
      <c r="M101" s="34"/>
      <c r="N101" s="34"/>
      <c r="O101" s="1"/>
      <c r="P101" s="1"/>
      <c r="Q101" s="1"/>
      <c r="R101" s="1"/>
      <c r="S101" s="1"/>
      <c r="T101" s="1"/>
      <c r="U101" s="1"/>
      <c r="V101" s="1"/>
      <c r="W101" s="1"/>
      <c r="X101" s="1"/>
      <c r="Y101" s="1"/>
    </row>
    <row r="102" spans="1:25" ht="12" customHeight="1">
      <c r="A102" s="35"/>
      <c r="B102" s="36"/>
      <c r="C102" s="34"/>
      <c r="D102" s="34"/>
      <c r="E102" s="34"/>
      <c r="F102" s="34"/>
      <c r="G102" s="34"/>
      <c r="H102" s="34"/>
      <c r="I102" s="34"/>
      <c r="J102" s="34"/>
      <c r="K102" s="34"/>
      <c r="L102" s="34"/>
      <c r="M102" s="34"/>
      <c r="N102" s="34"/>
      <c r="O102" s="1"/>
      <c r="P102" s="1"/>
      <c r="Q102" s="1"/>
      <c r="R102" s="1"/>
      <c r="S102" s="1"/>
      <c r="T102" s="1"/>
      <c r="U102" s="1"/>
      <c r="V102" s="1"/>
      <c r="W102" s="1"/>
      <c r="X102" s="1"/>
      <c r="Y102" s="1"/>
    </row>
    <row r="103" spans="1:25" ht="12" customHeight="1">
      <c r="A103" s="35"/>
      <c r="B103" s="36"/>
      <c r="C103" s="34"/>
      <c r="D103" s="34"/>
      <c r="E103" s="34"/>
      <c r="F103" s="34"/>
      <c r="G103" s="34"/>
      <c r="H103" s="34"/>
      <c r="I103" s="34"/>
      <c r="J103" s="34"/>
      <c r="K103" s="34"/>
      <c r="L103" s="34"/>
      <c r="M103" s="34"/>
      <c r="N103" s="34"/>
      <c r="O103" s="1"/>
      <c r="P103" s="1"/>
      <c r="Q103" s="1"/>
      <c r="R103" s="1"/>
      <c r="S103" s="1"/>
      <c r="T103" s="1"/>
      <c r="U103" s="1"/>
      <c r="V103" s="1"/>
      <c r="W103" s="1"/>
      <c r="X103" s="1"/>
      <c r="Y103" s="1"/>
    </row>
    <row r="104" spans="1:25" ht="12" customHeight="1">
      <c r="A104" s="35"/>
      <c r="B104" s="36"/>
      <c r="C104" s="34"/>
      <c r="D104" s="34"/>
      <c r="E104" s="34"/>
      <c r="F104" s="34"/>
      <c r="G104" s="34"/>
      <c r="H104" s="34"/>
      <c r="I104" s="34"/>
      <c r="J104" s="34"/>
      <c r="K104" s="34"/>
      <c r="L104" s="34"/>
      <c r="M104" s="34"/>
      <c r="N104" s="34"/>
      <c r="O104" s="1"/>
      <c r="P104" s="1"/>
      <c r="Q104" s="1"/>
      <c r="R104" s="1"/>
      <c r="S104" s="1"/>
      <c r="T104" s="1"/>
      <c r="U104" s="1"/>
      <c r="V104" s="1"/>
      <c r="W104" s="1"/>
      <c r="X104" s="1"/>
      <c r="Y104" s="1"/>
    </row>
    <row r="105" spans="1:25" ht="12" customHeight="1">
      <c r="A105" s="35"/>
      <c r="B105" s="36"/>
      <c r="C105" s="34"/>
      <c r="D105" s="34"/>
      <c r="E105" s="34"/>
      <c r="F105" s="34"/>
      <c r="G105" s="34"/>
      <c r="H105" s="34"/>
      <c r="I105" s="34"/>
      <c r="J105" s="34"/>
      <c r="K105" s="34"/>
      <c r="L105" s="34"/>
      <c r="M105" s="34"/>
      <c r="N105" s="34"/>
      <c r="O105" s="1"/>
      <c r="P105" s="1"/>
      <c r="Q105" s="1"/>
      <c r="R105" s="1"/>
      <c r="S105" s="1"/>
      <c r="T105" s="1"/>
      <c r="U105" s="1"/>
      <c r="V105" s="1"/>
      <c r="W105" s="1"/>
      <c r="X105" s="1"/>
      <c r="Y105" s="1"/>
    </row>
    <row r="106" spans="1:25" ht="12" customHeight="1">
      <c r="A106" s="35"/>
      <c r="B106" s="36"/>
      <c r="C106" s="34"/>
      <c r="D106" s="34"/>
      <c r="E106" s="34"/>
      <c r="F106" s="34"/>
      <c r="G106" s="34"/>
      <c r="H106" s="34"/>
      <c r="I106" s="34"/>
      <c r="J106" s="34"/>
      <c r="K106" s="34"/>
      <c r="L106" s="34"/>
      <c r="M106" s="34"/>
      <c r="N106" s="34"/>
      <c r="O106" s="1"/>
      <c r="P106" s="1"/>
      <c r="Q106" s="1"/>
      <c r="R106" s="1"/>
      <c r="S106" s="1"/>
      <c r="T106" s="1"/>
      <c r="U106" s="1"/>
      <c r="V106" s="1"/>
      <c r="W106" s="1"/>
      <c r="X106" s="1"/>
      <c r="Y106" s="1"/>
    </row>
    <row r="107" spans="1:25" ht="12" customHeight="1">
      <c r="A107" s="35"/>
      <c r="B107" s="40"/>
      <c r="C107" s="41"/>
      <c r="D107" s="41"/>
      <c r="E107" s="41"/>
      <c r="F107" s="41"/>
      <c r="G107" s="41"/>
      <c r="H107" s="41"/>
      <c r="I107" s="41"/>
      <c r="J107" s="41"/>
      <c r="K107" s="41"/>
      <c r="L107" s="41"/>
      <c r="M107" s="41"/>
      <c r="N107" s="41"/>
      <c r="O107" s="1"/>
      <c r="P107" s="1"/>
      <c r="Q107" s="1"/>
      <c r="R107" s="1"/>
      <c r="S107" s="1"/>
      <c r="T107" s="1"/>
      <c r="U107" s="1"/>
      <c r="V107" s="1"/>
      <c r="W107" s="1"/>
      <c r="X107" s="1"/>
      <c r="Y107" s="1"/>
    </row>
    <row r="108" spans="1:25" ht="12" customHeight="1">
      <c r="A108" s="40"/>
      <c r="B108" s="40"/>
      <c r="C108" s="41"/>
      <c r="D108" s="41"/>
      <c r="E108" s="41"/>
      <c r="F108" s="41"/>
      <c r="G108" s="41"/>
      <c r="H108" s="41"/>
      <c r="I108" s="41"/>
      <c r="J108" s="41"/>
      <c r="K108" s="41"/>
      <c r="L108" s="41"/>
      <c r="M108" s="41"/>
      <c r="N108" s="41"/>
      <c r="O108" s="1"/>
      <c r="P108" s="1"/>
      <c r="Q108" s="1"/>
      <c r="R108" s="1"/>
      <c r="S108" s="1"/>
      <c r="T108" s="1"/>
      <c r="U108" s="1"/>
      <c r="V108" s="1"/>
      <c r="W108" s="1"/>
      <c r="X108" s="1"/>
      <c r="Y108" s="1"/>
    </row>
    <row r="109" spans="1:25" ht="12" customHeight="1">
      <c r="A109" s="35"/>
      <c r="B109" s="40"/>
      <c r="C109" s="41"/>
      <c r="D109" s="41"/>
      <c r="E109" s="41"/>
      <c r="F109" s="41"/>
      <c r="G109" s="41"/>
      <c r="H109" s="41"/>
      <c r="I109" s="41"/>
      <c r="J109" s="41"/>
      <c r="K109" s="41"/>
      <c r="L109" s="41"/>
      <c r="M109" s="41"/>
      <c r="N109" s="41"/>
      <c r="O109" s="1"/>
      <c r="P109" s="1"/>
      <c r="Q109" s="1"/>
      <c r="R109" s="1"/>
      <c r="S109" s="1"/>
      <c r="T109" s="1"/>
      <c r="U109" s="1"/>
      <c r="V109" s="1"/>
      <c r="W109" s="1"/>
      <c r="X109" s="1"/>
      <c r="Y109" s="1"/>
    </row>
    <row r="110" spans="1:25" ht="12" customHeight="1">
      <c r="A110" s="35"/>
      <c r="B110" s="40"/>
      <c r="C110" s="41"/>
      <c r="D110" s="41"/>
      <c r="E110" s="41"/>
      <c r="F110" s="41"/>
      <c r="G110" s="41"/>
      <c r="H110" s="41"/>
      <c r="I110" s="41"/>
      <c r="J110" s="41"/>
      <c r="K110" s="41"/>
      <c r="L110" s="41"/>
      <c r="M110" s="41"/>
      <c r="N110" s="41"/>
      <c r="O110" s="1"/>
      <c r="P110" s="1"/>
      <c r="Q110" s="1"/>
      <c r="R110" s="1"/>
      <c r="S110" s="1"/>
      <c r="T110" s="1"/>
      <c r="U110" s="1"/>
      <c r="V110" s="1"/>
      <c r="W110" s="1"/>
      <c r="X110" s="1"/>
      <c r="Y110" s="1"/>
    </row>
    <row r="111" spans="1:25" ht="12" customHeight="1">
      <c r="A111" s="35"/>
      <c r="B111" s="40"/>
      <c r="C111" s="41"/>
      <c r="D111" s="41"/>
      <c r="E111" s="41"/>
      <c r="F111" s="41"/>
      <c r="G111" s="41"/>
      <c r="H111" s="41"/>
      <c r="I111" s="41"/>
      <c r="J111" s="41"/>
      <c r="K111" s="41"/>
      <c r="L111" s="41"/>
      <c r="M111" s="41"/>
      <c r="N111" s="41"/>
      <c r="O111" s="1"/>
      <c r="P111" s="1"/>
      <c r="Q111" s="1"/>
      <c r="R111" s="1"/>
      <c r="S111" s="1"/>
      <c r="T111" s="1"/>
      <c r="U111" s="1"/>
      <c r="V111" s="1"/>
      <c r="W111" s="1"/>
      <c r="X111" s="1"/>
      <c r="Y111" s="1"/>
    </row>
    <row r="112" spans="1:25" ht="12" customHeight="1">
      <c r="A112" s="35"/>
      <c r="B112" s="40"/>
      <c r="C112" s="41"/>
      <c r="D112" s="41"/>
      <c r="E112" s="41"/>
      <c r="F112" s="41"/>
      <c r="G112" s="41"/>
      <c r="H112" s="41"/>
      <c r="I112" s="41"/>
      <c r="J112" s="41"/>
      <c r="K112" s="41"/>
      <c r="L112" s="41"/>
      <c r="M112" s="41"/>
      <c r="N112" s="41"/>
      <c r="O112" s="1"/>
      <c r="P112" s="1"/>
      <c r="Q112" s="1"/>
      <c r="R112" s="1"/>
      <c r="S112" s="1"/>
      <c r="T112" s="1"/>
      <c r="U112" s="1"/>
      <c r="V112" s="1"/>
      <c r="W112" s="1"/>
      <c r="X112" s="1"/>
      <c r="Y112" s="1"/>
    </row>
    <row r="113" spans="1:25" ht="12" customHeight="1">
      <c r="A113" s="35"/>
      <c r="B113" s="40"/>
      <c r="C113" s="41"/>
      <c r="D113" s="41"/>
      <c r="E113" s="41"/>
      <c r="F113" s="41"/>
      <c r="G113" s="41"/>
      <c r="H113" s="41"/>
      <c r="I113" s="41"/>
      <c r="J113" s="41"/>
      <c r="K113" s="41"/>
      <c r="L113" s="41"/>
      <c r="M113" s="41"/>
      <c r="N113" s="41"/>
      <c r="O113" s="1"/>
      <c r="P113" s="1"/>
      <c r="Q113" s="1"/>
      <c r="R113" s="1"/>
      <c r="S113" s="1"/>
      <c r="T113" s="1"/>
      <c r="U113" s="1"/>
      <c r="V113" s="1"/>
      <c r="W113" s="1"/>
      <c r="X113" s="1"/>
      <c r="Y113" s="1"/>
    </row>
    <row r="114" spans="1:25" ht="12" customHeight="1">
      <c r="A114" s="35"/>
      <c r="B114" s="40"/>
      <c r="C114" s="41"/>
      <c r="D114" s="41"/>
      <c r="E114" s="41"/>
      <c r="F114" s="41"/>
      <c r="G114" s="41"/>
      <c r="H114" s="41"/>
      <c r="I114" s="41"/>
      <c r="J114" s="41"/>
      <c r="K114" s="41"/>
      <c r="L114" s="41"/>
      <c r="M114" s="41"/>
      <c r="N114" s="41"/>
      <c r="O114" s="1"/>
      <c r="P114" s="1"/>
      <c r="Q114" s="1"/>
      <c r="R114" s="1"/>
      <c r="S114" s="1"/>
      <c r="T114" s="1"/>
      <c r="U114" s="1"/>
      <c r="V114" s="1"/>
      <c r="W114" s="1"/>
      <c r="X114" s="1"/>
      <c r="Y114" s="1"/>
    </row>
    <row r="115" spans="1:25" ht="12" customHeight="1">
      <c r="A115" s="35"/>
      <c r="B115" s="40"/>
      <c r="C115" s="41"/>
      <c r="D115" s="41"/>
      <c r="E115" s="41"/>
      <c r="F115" s="41"/>
      <c r="G115" s="41"/>
      <c r="H115" s="41"/>
      <c r="I115" s="41"/>
      <c r="J115" s="41"/>
      <c r="K115" s="41"/>
      <c r="L115" s="41"/>
      <c r="M115" s="41"/>
      <c r="N115" s="41"/>
      <c r="O115" s="1"/>
      <c r="P115" s="1"/>
      <c r="Q115" s="1"/>
      <c r="R115" s="1"/>
      <c r="S115" s="1"/>
      <c r="T115" s="1"/>
      <c r="U115" s="1"/>
      <c r="V115" s="1"/>
      <c r="W115" s="1"/>
      <c r="X115" s="1"/>
      <c r="Y115" s="1"/>
    </row>
    <row r="116" spans="1:25" ht="12" customHeight="1">
      <c r="A116" s="35"/>
      <c r="B116" s="40"/>
      <c r="C116" s="41"/>
      <c r="D116" s="41"/>
      <c r="E116" s="41"/>
      <c r="F116" s="41"/>
      <c r="G116" s="41"/>
      <c r="H116" s="41"/>
      <c r="I116" s="41"/>
      <c r="J116" s="41"/>
      <c r="K116" s="41"/>
      <c r="L116" s="41"/>
      <c r="M116" s="41"/>
      <c r="N116" s="41"/>
      <c r="O116" s="1"/>
      <c r="P116" s="1"/>
      <c r="Q116" s="1"/>
      <c r="R116" s="1"/>
      <c r="S116" s="1"/>
      <c r="T116" s="1"/>
      <c r="U116" s="1"/>
      <c r="V116" s="1"/>
      <c r="W116" s="1"/>
      <c r="X116" s="1"/>
      <c r="Y116" s="1"/>
    </row>
    <row r="117" spans="1:25" ht="12" customHeight="1">
      <c r="A117" s="35"/>
      <c r="B117" s="40"/>
      <c r="C117" s="41"/>
      <c r="D117" s="41"/>
      <c r="E117" s="41"/>
      <c r="F117" s="41"/>
      <c r="G117" s="41"/>
      <c r="H117" s="41"/>
      <c r="I117" s="41"/>
      <c r="J117" s="41"/>
      <c r="K117" s="41"/>
      <c r="L117" s="41"/>
      <c r="M117" s="41"/>
      <c r="N117" s="41"/>
      <c r="O117" s="1"/>
      <c r="P117" s="1"/>
      <c r="Q117" s="1"/>
      <c r="R117" s="1"/>
      <c r="S117" s="1"/>
      <c r="T117" s="1"/>
      <c r="U117" s="1"/>
      <c r="V117" s="1"/>
      <c r="W117" s="1"/>
      <c r="X117" s="1"/>
      <c r="Y117" s="1"/>
    </row>
    <row r="118" spans="1:25" ht="12" customHeight="1">
      <c r="A118" s="35"/>
      <c r="B118" s="40"/>
      <c r="C118" s="41"/>
      <c r="D118" s="41"/>
      <c r="E118" s="41"/>
      <c r="F118" s="41"/>
      <c r="G118" s="41"/>
      <c r="H118" s="41"/>
      <c r="I118" s="41"/>
      <c r="J118" s="41"/>
      <c r="K118" s="41"/>
      <c r="L118" s="41"/>
      <c r="M118" s="41"/>
      <c r="N118" s="41"/>
      <c r="O118" s="1"/>
      <c r="P118" s="1"/>
      <c r="Q118" s="1"/>
      <c r="R118" s="1"/>
      <c r="S118" s="1"/>
      <c r="T118" s="1"/>
      <c r="U118" s="1"/>
      <c r="V118" s="1"/>
      <c r="W118" s="1"/>
      <c r="X118" s="1"/>
      <c r="Y118" s="1"/>
    </row>
    <row r="119" spans="1:25" ht="12" customHeight="1">
      <c r="A119" s="35"/>
      <c r="B119" s="40"/>
      <c r="C119" s="41"/>
      <c r="D119" s="41"/>
      <c r="E119" s="41"/>
      <c r="F119" s="41"/>
      <c r="G119" s="41"/>
      <c r="H119" s="41"/>
      <c r="I119" s="41"/>
      <c r="J119" s="41"/>
      <c r="K119" s="41"/>
      <c r="L119" s="41"/>
      <c r="M119" s="41"/>
      <c r="N119" s="41"/>
      <c r="O119" s="1"/>
      <c r="P119" s="1"/>
      <c r="Q119" s="1"/>
      <c r="R119" s="1"/>
      <c r="S119" s="1"/>
      <c r="T119" s="1"/>
      <c r="U119" s="1"/>
      <c r="V119" s="1"/>
      <c r="W119" s="1"/>
      <c r="X119" s="1"/>
      <c r="Y119" s="1"/>
    </row>
    <row r="120" spans="1:25" ht="12" customHeight="1">
      <c r="A120" s="35"/>
      <c r="B120" s="40"/>
      <c r="C120" s="41"/>
      <c r="D120" s="41"/>
      <c r="E120" s="41"/>
      <c r="F120" s="41"/>
      <c r="G120" s="41"/>
      <c r="H120" s="41"/>
      <c r="I120" s="41"/>
      <c r="J120" s="41"/>
      <c r="K120" s="41"/>
      <c r="L120" s="41"/>
      <c r="M120" s="41"/>
      <c r="N120" s="41"/>
      <c r="O120" s="1"/>
      <c r="P120" s="1"/>
      <c r="Q120" s="1"/>
      <c r="R120" s="1"/>
      <c r="S120" s="1"/>
      <c r="T120" s="1"/>
      <c r="U120" s="1"/>
      <c r="V120" s="1"/>
      <c r="W120" s="1"/>
      <c r="X120" s="1"/>
      <c r="Y120" s="1"/>
    </row>
    <row r="121" spans="1:25" ht="12" customHeight="1">
      <c r="A121" s="35"/>
      <c r="B121" s="40"/>
      <c r="C121" s="41"/>
      <c r="D121" s="41"/>
      <c r="E121" s="41"/>
      <c r="F121" s="41"/>
      <c r="G121" s="41"/>
      <c r="H121" s="41"/>
      <c r="I121" s="41"/>
      <c r="J121" s="41"/>
      <c r="K121" s="41"/>
      <c r="L121" s="41"/>
      <c r="M121" s="41"/>
      <c r="N121" s="41"/>
      <c r="O121" s="1"/>
      <c r="P121" s="1"/>
      <c r="Q121" s="1"/>
      <c r="R121" s="1"/>
      <c r="S121" s="1"/>
      <c r="T121" s="1"/>
      <c r="U121" s="1"/>
      <c r="V121" s="1"/>
      <c r="W121" s="1"/>
      <c r="X121" s="1"/>
      <c r="Y121" s="1"/>
    </row>
    <row r="122" spans="1:25" ht="12" customHeight="1">
      <c r="A122" s="35"/>
      <c r="B122" s="40"/>
      <c r="C122" s="41"/>
      <c r="D122" s="41"/>
      <c r="E122" s="41"/>
      <c r="F122" s="41"/>
      <c r="G122" s="41"/>
      <c r="H122" s="41"/>
      <c r="I122" s="41"/>
      <c r="J122" s="41"/>
      <c r="K122" s="41"/>
      <c r="L122" s="41"/>
      <c r="M122" s="41"/>
      <c r="N122" s="41"/>
      <c r="O122" s="1"/>
      <c r="P122" s="1"/>
      <c r="Q122" s="1"/>
      <c r="R122" s="1"/>
      <c r="S122" s="1"/>
      <c r="T122" s="1"/>
      <c r="U122" s="1"/>
      <c r="V122" s="1"/>
      <c r="W122" s="1"/>
      <c r="X122" s="1"/>
      <c r="Y122" s="1"/>
    </row>
    <row r="123" spans="1:25" ht="12" customHeight="1">
      <c r="A123" s="35"/>
      <c r="B123" s="40"/>
      <c r="C123" s="41"/>
      <c r="D123" s="41"/>
      <c r="E123" s="41"/>
      <c r="F123" s="41"/>
      <c r="G123" s="41"/>
      <c r="H123" s="41"/>
      <c r="I123" s="41"/>
      <c r="J123" s="41"/>
      <c r="K123" s="41"/>
      <c r="L123" s="41"/>
      <c r="M123" s="41"/>
      <c r="N123" s="41"/>
      <c r="O123" s="1"/>
      <c r="P123" s="1"/>
      <c r="Q123" s="1"/>
      <c r="R123" s="1"/>
      <c r="S123" s="1"/>
      <c r="T123" s="1"/>
      <c r="U123" s="1"/>
      <c r="V123" s="1"/>
      <c r="W123" s="1"/>
      <c r="X123" s="1"/>
      <c r="Y123" s="1"/>
    </row>
    <row r="124" spans="1:25" ht="12" customHeight="1">
      <c r="A124" s="35"/>
      <c r="B124" s="40"/>
      <c r="C124" s="41"/>
      <c r="D124" s="41"/>
      <c r="E124" s="41"/>
      <c r="F124" s="41"/>
      <c r="G124" s="41"/>
      <c r="H124" s="41"/>
      <c r="I124" s="41"/>
      <c r="J124" s="41"/>
      <c r="K124" s="41"/>
      <c r="L124" s="41"/>
      <c r="M124" s="41"/>
      <c r="N124" s="41"/>
      <c r="O124" s="1"/>
      <c r="P124" s="1"/>
      <c r="Q124" s="1"/>
      <c r="R124" s="1"/>
      <c r="S124" s="1"/>
      <c r="T124" s="1"/>
      <c r="U124" s="1"/>
      <c r="V124" s="1"/>
      <c r="W124" s="1"/>
      <c r="X124" s="1"/>
      <c r="Y124" s="1"/>
    </row>
    <row r="125" spans="1:25" ht="12" customHeight="1">
      <c r="A125" s="35"/>
      <c r="B125" s="40"/>
      <c r="C125" s="41"/>
      <c r="D125" s="41"/>
      <c r="E125" s="41"/>
      <c r="F125" s="41"/>
      <c r="G125" s="41"/>
      <c r="H125" s="41"/>
      <c r="I125" s="41"/>
      <c r="J125" s="41"/>
      <c r="K125" s="41"/>
      <c r="L125" s="41"/>
      <c r="M125" s="41"/>
      <c r="N125" s="41"/>
      <c r="O125" s="1"/>
      <c r="P125" s="1"/>
      <c r="Q125" s="1"/>
      <c r="R125" s="1"/>
      <c r="S125" s="1"/>
      <c r="T125" s="1"/>
      <c r="U125" s="1"/>
      <c r="V125" s="1"/>
      <c r="W125" s="1"/>
      <c r="X125" s="1"/>
      <c r="Y125" s="1"/>
    </row>
    <row r="126" spans="1:25" ht="12" customHeight="1">
      <c r="A126" s="35"/>
      <c r="B126" s="40"/>
      <c r="C126" s="41"/>
      <c r="D126" s="41"/>
      <c r="E126" s="41"/>
      <c r="F126" s="41"/>
      <c r="G126" s="41"/>
      <c r="H126" s="41"/>
      <c r="I126" s="41"/>
      <c r="J126" s="41"/>
      <c r="K126" s="41"/>
      <c r="L126" s="41"/>
      <c r="M126" s="41"/>
      <c r="N126" s="41"/>
      <c r="O126" s="1"/>
      <c r="P126" s="1"/>
      <c r="Q126" s="1"/>
      <c r="R126" s="1"/>
      <c r="S126" s="1"/>
      <c r="T126" s="1"/>
      <c r="U126" s="1"/>
      <c r="V126" s="1"/>
      <c r="W126" s="1"/>
      <c r="X126" s="1"/>
      <c r="Y126" s="1"/>
    </row>
    <row r="127" spans="1:25" ht="12" customHeight="1">
      <c r="A127" s="35"/>
      <c r="B127" s="40"/>
      <c r="C127" s="41"/>
      <c r="D127" s="41"/>
      <c r="E127" s="41"/>
      <c r="F127" s="41"/>
      <c r="G127" s="41"/>
      <c r="H127" s="41"/>
      <c r="I127" s="41"/>
      <c r="J127" s="41"/>
      <c r="K127" s="41"/>
      <c r="L127" s="41"/>
      <c r="M127" s="41"/>
      <c r="N127" s="41"/>
      <c r="O127" s="1"/>
      <c r="P127" s="1"/>
      <c r="Q127" s="1"/>
      <c r="R127" s="1"/>
      <c r="S127" s="1"/>
      <c r="T127" s="1"/>
      <c r="U127" s="1"/>
      <c r="V127" s="1"/>
      <c r="W127" s="1"/>
      <c r="X127" s="1"/>
      <c r="Y127" s="1"/>
    </row>
    <row r="128" spans="1:25" ht="12" customHeight="1">
      <c r="A128" s="35"/>
      <c r="B128" s="40"/>
      <c r="C128" s="41"/>
      <c r="D128" s="41"/>
      <c r="E128" s="41"/>
      <c r="F128" s="41"/>
      <c r="G128" s="41"/>
      <c r="H128" s="41"/>
      <c r="I128" s="41"/>
      <c r="J128" s="41"/>
      <c r="K128" s="41"/>
      <c r="L128" s="41"/>
      <c r="M128" s="41"/>
      <c r="N128" s="41"/>
      <c r="O128" s="1"/>
      <c r="P128" s="1"/>
      <c r="Q128" s="1"/>
      <c r="R128" s="1"/>
      <c r="S128" s="1"/>
      <c r="T128" s="1"/>
      <c r="U128" s="1"/>
      <c r="V128" s="1"/>
      <c r="W128" s="1"/>
      <c r="X128" s="1"/>
      <c r="Y128" s="1"/>
    </row>
    <row r="129" spans="1:25" ht="12" customHeight="1">
      <c r="A129" s="35"/>
      <c r="B129" s="40"/>
      <c r="C129" s="41"/>
      <c r="D129" s="41"/>
      <c r="E129" s="41"/>
      <c r="F129" s="41"/>
      <c r="G129" s="41"/>
      <c r="H129" s="41"/>
      <c r="I129" s="41"/>
      <c r="J129" s="41"/>
      <c r="K129" s="41"/>
      <c r="L129" s="41"/>
      <c r="M129" s="41"/>
      <c r="N129" s="41"/>
      <c r="O129" s="1"/>
      <c r="P129" s="1"/>
      <c r="Q129" s="1"/>
      <c r="R129" s="1"/>
      <c r="S129" s="1"/>
      <c r="T129" s="1"/>
      <c r="U129" s="1"/>
      <c r="V129" s="1"/>
      <c r="W129" s="1"/>
      <c r="X129" s="1"/>
      <c r="Y129" s="1"/>
    </row>
    <row r="130" spans="1:25" ht="12" customHeight="1">
      <c r="A130" s="35"/>
      <c r="B130" s="40"/>
      <c r="C130" s="41"/>
      <c r="D130" s="41"/>
      <c r="E130" s="41"/>
      <c r="F130" s="41"/>
      <c r="G130" s="41"/>
      <c r="H130" s="41"/>
      <c r="I130" s="41"/>
      <c r="J130" s="41"/>
      <c r="K130" s="41"/>
      <c r="L130" s="41"/>
      <c r="M130" s="41"/>
      <c r="N130" s="41"/>
      <c r="O130" s="1"/>
      <c r="P130" s="1"/>
      <c r="Q130" s="1"/>
      <c r="R130" s="1"/>
      <c r="S130" s="1"/>
      <c r="T130" s="1"/>
      <c r="U130" s="1"/>
      <c r="V130" s="1"/>
      <c r="W130" s="1"/>
      <c r="X130" s="1"/>
      <c r="Y130" s="1"/>
    </row>
    <row r="131" spans="1:25" ht="12" customHeight="1">
      <c r="A131" s="35"/>
      <c r="B131" s="40"/>
      <c r="C131" s="41"/>
      <c r="D131" s="41"/>
      <c r="E131" s="41"/>
      <c r="F131" s="41"/>
      <c r="G131" s="41"/>
      <c r="H131" s="41"/>
      <c r="I131" s="41"/>
      <c r="J131" s="41"/>
      <c r="K131" s="41"/>
      <c r="L131" s="41"/>
      <c r="M131" s="41"/>
      <c r="N131" s="41"/>
      <c r="O131" s="1"/>
      <c r="P131" s="1"/>
      <c r="Q131" s="1"/>
      <c r="R131" s="1"/>
      <c r="S131" s="1"/>
      <c r="T131" s="1"/>
      <c r="U131" s="1"/>
      <c r="V131" s="1"/>
      <c r="W131" s="1"/>
      <c r="X131" s="1"/>
      <c r="Y131" s="1"/>
    </row>
    <row r="132" spans="1:25" ht="12" customHeight="1">
      <c r="A132" s="35"/>
      <c r="B132" s="40"/>
      <c r="C132" s="41"/>
      <c r="D132" s="41"/>
      <c r="E132" s="41"/>
      <c r="F132" s="41"/>
      <c r="G132" s="41"/>
      <c r="H132" s="41"/>
      <c r="I132" s="41"/>
      <c r="J132" s="41"/>
      <c r="K132" s="41"/>
      <c r="L132" s="41"/>
      <c r="M132" s="41"/>
      <c r="N132" s="41"/>
      <c r="O132" s="1"/>
      <c r="P132" s="1"/>
      <c r="Q132" s="1"/>
      <c r="R132" s="1"/>
      <c r="S132" s="1"/>
      <c r="T132" s="1"/>
      <c r="U132" s="1"/>
      <c r="V132" s="1"/>
      <c r="W132" s="1"/>
      <c r="X132" s="1"/>
      <c r="Y132" s="1"/>
    </row>
    <row r="133" spans="1:25" ht="12" customHeight="1">
      <c r="A133" s="35"/>
      <c r="B133" s="40"/>
      <c r="C133" s="41"/>
      <c r="D133" s="41"/>
      <c r="E133" s="41"/>
      <c r="F133" s="41"/>
      <c r="G133" s="41"/>
      <c r="H133" s="41"/>
      <c r="I133" s="41"/>
      <c r="J133" s="41"/>
      <c r="K133" s="41"/>
      <c r="L133" s="41"/>
      <c r="M133" s="41"/>
      <c r="N133" s="41"/>
      <c r="O133" s="1"/>
      <c r="P133" s="1"/>
      <c r="Q133" s="1"/>
      <c r="R133" s="1"/>
      <c r="S133" s="1"/>
      <c r="T133" s="1"/>
      <c r="U133" s="1"/>
      <c r="V133" s="1"/>
      <c r="W133" s="1"/>
      <c r="X133" s="1"/>
      <c r="Y133" s="1"/>
    </row>
    <row r="134" spans="1:25" ht="12" customHeight="1">
      <c r="A134" s="35"/>
      <c r="B134" s="40"/>
      <c r="C134" s="41"/>
      <c r="D134" s="41"/>
      <c r="E134" s="41"/>
      <c r="F134" s="41"/>
      <c r="G134" s="41"/>
      <c r="H134" s="41"/>
      <c r="I134" s="41"/>
      <c r="J134" s="41"/>
      <c r="K134" s="41"/>
      <c r="L134" s="41"/>
      <c r="M134" s="41"/>
      <c r="N134" s="41"/>
      <c r="O134" s="1"/>
      <c r="P134" s="1"/>
      <c r="Q134" s="1"/>
      <c r="R134" s="1"/>
      <c r="S134" s="1"/>
      <c r="T134" s="1"/>
      <c r="U134" s="1"/>
      <c r="V134" s="1"/>
      <c r="W134" s="1"/>
      <c r="X134" s="1"/>
      <c r="Y134" s="1"/>
    </row>
    <row r="135" spans="1:25" ht="12" customHeight="1">
      <c r="A135" s="35"/>
      <c r="B135" s="40"/>
      <c r="C135" s="41"/>
      <c r="D135" s="41"/>
      <c r="E135" s="41"/>
      <c r="F135" s="41"/>
      <c r="G135" s="41"/>
      <c r="H135" s="41"/>
      <c r="I135" s="41"/>
      <c r="J135" s="41"/>
      <c r="K135" s="41"/>
      <c r="L135" s="41"/>
      <c r="M135" s="41"/>
      <c r="N135" s="41"/>
      <c r="O135" s="1"/>
      <c r="P135" s="1"/>
      <c r="Q135" s="1"/>
      <c r="R135" s="1"/>
      <c r="S135" s="1"/>
      <c r="T135" s="1"/>
      <c r="U135" s="1"/>
      <c r="V135" s="1"/>
      <c r="W135" s="1"/>
      <c r="X135" s="1"/>
      <c r="Y135" s="1"/>
    </row>
    <row r="136" spans="1:25" ht="12" customHeight="1">
      <c r="A136" s="35"/>
      <c r="B136" s="40"/>
      <c r="C136" s="41"/>
      <c r="D136" s="41"/>
      <c r="E136" s="41"/>
      <c r="F136" s="41"/>
      <c r="G136" s="41"/>
      <c r="H136" s="41"/>
      <c r="I136" s="41"/>
      <c r="J136" s="41"/>
      <c r="K136" s="41"/>
      <c r="L136" s="41"/>
      <c r="M136" s="41"/>
      <c r="N136" s="41"/>
      <c r="O136" s="1"/>
      <c r="P136" s="1"/>
      <c r="Q136" s="1"/>
      <c r="R136" s="1"/>
      <c r="S136" s="1"/>
      <c r="T136" s="1"/>
      <c r="U136" s="1"/>
      <c r="V136" s="1"/>
      <c r="W136" s="1"/>
      <c r="X136" s="1"/>
      <c r="Y136" s="1"/>
    </row>
    <row r="137" spans="1:25" ht="12" customHeight="1">
      <c r="A137" s="35"/>
      <c r="B137" s="40"/>
      <c r="C137" s="41"/>
      <c r="D137" s="41"/>
      <c r="E137" s="41"/>
      <c r="F137" s="41"/>
      <c r="G137" s="41"/>
      <c r="H137" s="41"/>
      <c r="I137" s="41"/>
      <c r="J137" s="41"/>
      <c r="K137" s="41"/>
      <c r="L137" s="41"/>
      <c r="M137" s="41"/>
      <c r="N137" s="41"/>
      <c r="O137" s="1"/>
      <c r="P137" s="1"/>
      <c r="Q137" s="1"/>
      <c r="R137" s="1"/>
      <c r="S137" s="1"/>
      <c r="T137" s="1"/>
      <c r="U137" s="1"/>
      <c r="V137" s="1"/>
      <c r="W137" s="1"/>
      <c r="X137" s="1"/>
      <c r="Y137" s="1"/>
    </row>
    <row r="138" spans="1:25"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mergeCells count="2">
    <mergeCell ref="A2:B2"/>
    <mergeCell ref="A20:B21"/>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M1000"/>
  <sheetViews>
    <sheetView zoomScale="114" workbookViewId="0">
      <selection activeCell="B2" sqref="B2"/>
    </sheetView>
  </sheetViews>
  <sheetFormatPr defaultColWidth="14.42578125" defaultRowHeight="15" customHeight="1"/>
  <cols>
    <col min="1" max="1" width="52" customWidth="1"/>
    <col min="2" max="13" width="16.42578125" bestFit="1" customWidth="1"/>
    <col min="14" max="26" width="8.7109375" customWidth="1"/>
  </cols>
  <sheetData>
    <row r="1" spans="1:13" s="90" customFormat="1" ht="14.25" customHeight="1">
      <c r="A1" s="91" t="s">
        <v>169</v>
      </c>
      <c r="B1" s="101" t="s">
        <v>43</v>
      </c>
      <c r="C1" s="101" t="s">
        <v>44</v>
      </c>
      <c r="D1" s="101" t="s">
        <v>45</v>
      </c>
      <c r="E1" s="101" t="s">
        <v>46</v>
      </c>
      <c r="F1" s="101" t="s">
        <v>47</v>
      </c>
      <c r="G1" s="101" t="s">
        <v>48</v>
      </c>
      <c r="H1" s="101" t="s">
        <v>49</v>
      </c>
      <c r="I1" s="101" t="s">
        <v>50</v>
      </c>
      <c r="J1" s="101" t="s">
        <v>51</v>
      </c>
      <c r="K1" s="101" t="s">
        <v>52</v>
      </c>
      <c r="L1" s="101" t="s">
        <v>53</v>
      </c>
      <c r="M1" s="101" t="s">
        <v>54</v>
      </c>
    </row>
    <row r="2" spans="1:13" ht="14.25" customHeight="1">
      <c r="A2" s="250" t="s">
        <v>55</v>
      </c>
      <c r="B2" s="43">
        <v>181.933291</v>
      </c>
      <c r="C2" s="44">
        <v>187.44394299999999</v>
      </c>
      <c r="D2" s="44">
        <v>184.77365699999999</v>
      </c>
      <c r="E2" s="44">
        <v>191.54109299999999</v>
      </c>
      <c r="F2" s="44">
        <v>98.096062000000003</v>
      </c>
      <c r="G2" s="44">
        <v>185.30685299999999</v>
      </c>
      <c r="H2" s="44">
        <v>186.90143900000001</v>
      </c>
      <c r="I2" s="44">
        <v>158.58676500000001</v>
      </c>
      <c r="J2" s="44">
        <v>191.40367599999999</v>
      </c>
      <c r="K2" s="44">
        <v>171.057864</v>
      </c>
      <c r="L2" s="44">
        <v>169.28699900000001</v>
      </c>
      <c r="M2" s="44">
        <v>142.50871699999999</v>
      </c>
    </row>
    <row r="3" spans="1:13" ht="14.25" customHeight="1">
      <c r="A3" s="250" t="s">
        <v>69</v>
      </c>
      <c r="B3" s="43">
        <v>214.968999</v>
      </c>
      <c r="C3" s="43">
        <v>228.199051</v>
      </c>
      <c r="D3" s="43">
        <v>216.53646700000002</v>
      </c>
      <c r="E3" s="43">
        <v>296.76027599999998</v>
      </c>
      <c r="F3" s="43">
        <v>232.052864</v>
      </c>
      <c r="G3" s="43">
        <v>250.21016</v>
      </c>
      <c r="H3" s="43">
        <v>268.160549</v>
      </c>
      <c r="I3" s="43">
        <v>306.884524</v>
      </c>
      <c r="J3" s="43">
        <v>367.65100600000005</v>
      </c>
      <c r="K3" s="43">
        <v>291.99016600000004</v>
      </c>
      <c r="L3" s="43">
        <v>301.18512999999996</v>
      </c>
      <c r="M3" s="43">
        <v>299.782893</v>
      </c>
    </row>
    <row r="4" spans="1:13" ht="14.25" customHeight="1">
      <c r="A4" s="250" t="s">
        <v>84</v>
      </c>
      <c r="B4" s="45">
        <v>250.24199099999998</v>
      </c>
      <c r="C4" s="46">
        <v>206.740703</v>
      </c>
      <c r="D4" s="46">
        <v>201.23546099999996</v>
      </c>
      <c r="E4" s="46">
        <v>174.36956599999999</v>
      </c>
      <c r="F4" s="46">
        <v>204.09105</v>
      </c>
      <c r="G4" s="46">
        <v>146.35666599999999</v>
      </c>
      <c r="H4" s="46">
        <v>204.20249700000002</v>
      </c>
      <c r="I4" s="46">
        <v>217.43019900000002</v>
      </c>
      <c r="J4" s="46">
        <v>161.81421700000007</v>
      </c>
      <c r="K4" s="46">
        <v>113.44113599999997</v>
      </c>
      <c r="L4" s="46">
        <v>115.407369</v>
      </c>
      <c r="M4" s="46">
        <v>140.38033399999998</v>
      </c>
    </row>
    <row r="5" spans="1:13" ht="14.25" customHeight="1">
      <c r="A5" s="292" t="s">
        <v>170</v>
      </c>
      <c r="B5" s="47">
        <f t="shared" ref="B5:M5" si="0">SUM(B2:B4)</f>
        <v>647.14428099999998</v>
      </c>
      <c r="C5" s="47">
        <f t="shared" si="0"/>
        <v>622.38369699999998</v>
      </c>
      <c r="D5" s="47">
        <f t="shared" si="0"/>
        <v>602.54558499999996</v>
      </c>
      <c r="E5" s="47">
        <f t="shared" si="0"/>
        <v>662.67093499999999</v>
      </c>
      <c r="F5" s="47">
        <f t="shared" si="0"/>
        <v>534.23997600000007</v>
      </c>
      <c r="G5" s="47">
        <f t="shared" si="0"/>
        <v>581.87367900000004</v>
      </c>
      <c r="H5" s="47">
        <f t="shared" si="0"/>
        <v>659.26448500000004</v>
      </c>
      <c r="I5" s="47">
        <f t="shared" si="0"/>
        <v>682.90148799999997</v>
      </c>
      <c r="J5" s="47">
        <f t="shared" si="0"/>
        <v>720.86889900000017</v>
      </c>
      <c r="K5" s="47">
        <f t="shared" si="0"/>
        <v>576.48916600000007</v>
      </c>
      <c r="L5" s="47">
        <f t="shared" si="0"/>
        <v>585.87949800000001</v>
      </c>
      <c r="M5" s="47">
        <f t="shared" si="0"/>
        <v>582.67194399999994</v>
      </c>
    </row>
    <row r="6" spans="1:13" ht="14.25" customHeight="1">
      <c r="A6" s="251" t="s">
        <v>171</v>
      </c>
      <c r="B6" s="257"/>
      <c r="C6" s="257"/>
      <c r="D6" s="257"/>
      <c r="E6" s="257"/>
      <c r="F6" s="257"/>
      <c r="G6" s="257"/>
      <c r="H6" s="257"/>
      <c r="I6" s="257"/>
      <c r="J6" s="257"/>
      <c r="K6" s="257"/>
      <c r="L6" s="257"/>
      <c r="M6" s="257"/>
    </row>
    <row r="7" spans="1:13" ht="14.25" customHeight="1">
      <c r="A7" s="257"/>
      <c r="B7" s="257"/>
      <c r="C7" s="257"/>
      <c r="D7" s="257"/>
      <c r="E7" s="257"/>
      <c r="F7" s="257"/>
      <c r="G7" s="257"/>
      <c r="H7" s="257"/>
      <c r="I7" s="257"/>
      <c r="J7" s="257"/>
      <c r="K7" s="257"/>
      <c r="L7" s="257"/>
      <c r="M7" s="257"/>
    </row>
    <row r="8" spans="1:13" ht="14.25" customHeight="1">
      <c r="A8" s="257"/>
      <c r="B8" s="257"/>
      <c r="C8" s="257"/>
      <c r="D8" s="257"/>
      <c r="E8" s="257"/>
      <c r="F8" s="257"/>
      <c r="G8" s="257"/>
      <c r="H8" s="257"/>
      <c r="I8" s="257"/>
      <c r="J8" s="257"/>
      <c r="K8" s="257"/>
      <c r="L8" s="257"/>
      <c r="M8" s="257"/>
    </row>
    <row r="9" spans="1:13" ht="14.25" customHeight="1">
      <c r="A9" s="257"/>
      <c r="B9" s="257"/>
      <c r="C9" s="257"/>
      <c r="D9" s="257"/>
      <c r="E9" s="257"/>
      <c r="F9" s="257"/>
      <c r="G9" s="257"/>
      <c r="H9" s="257"/>
      <c r="I9" s="257"/>
      <c r="J9" s="257"/>
      <c r="K9" s="257"/>
      <c r="L9" s="257"/>
      <c r="M9" s="257"/>
    </row>
    <row r="10" spans="1:13" ht="14.25" customHeight="1">
      <c r="A10" s="257"/>
      <c r="B10" s="257"/>
      <c r="C10" s="257"/>
      <c r="D10" s="257"/>
      <c r="E10" s="257"/>
      <c r="F10" s="257"/>
      <c r="G10" s="257"/>
      <c r="H10" s="257"/>
      <c r="I10" s="257"/>
      <c r="J10" s="257"/>
      <c r="K10" s="257"/>
      <c r="L10" s="257"/>
      <c r="M10" s="257"/>
    </row>
    <row r="11" spans="1:13" ht="14.25" customHeight="1">
      <c r="A11" s="257"/>
      <c r="B11" s="257"/>
      <c r="C11" s="257"/>
      <c r="D11" s="257"/>
      <c r="E11" s="257"/>
      <c r="F11" s="257"/>
      <c r="G11" s="257"/>
      <c r="H11" s="257"/>
      <c r="I11" s="257"/>
      <c r="J11" s="257"/>
      <c r="K11" s="257"/>
      <c r="L11" s="257"/>
      <c r="M11" s="257"/>
    </row>
    <row r="12" spans="1:13" ht="14.25" customHeight="1">
      <c r="A12" s="257"/>
      <c r="B12" s="257"/>
      <c r="C12" s="257"/>
      <c r="D12" s="257"/>
      <c r="E12" s="257"/>
      <c r="F12" s="257"/>
      <c r="G12" s="257"/>
      <c r="H12" s="257"/>
      <c r="I12" s="257"/>
      <c r="J12" s="257"/>
      <c r="K12" s="257"/>
      <c r="L12" s="257"/>
      <c r="M12" s="257"/>
    </row>
    <row r="13" spans="1:13" ht="14.25" customHeight="1">
      <c r="A13" s="257"/>
      <c r="B13" s="257"/>
      <c r="C13" s="257"/>
      <c r="D13" s="257"/>
      <c r="E13" s="257"/>
      <c r="F13" s="257"/>
      <c r="G13" s="257"/>
      <c r="H13" s="257"/>
      <c r="I13" s="257"/>
      <c r="J13" s="257"/>
      <c r="K13" s="257"/>
      <c r="L13" s="257"/>
      <c r="M13" s="257"/>
    </row>
    <row r="14" spans="1:13" ht="14.25" customHeight="1">
      <c r="A14" s="257"/>
      <c r="B14" s="257"/>
      <c r="C14" s="257"/>
      <c r="D14" s="257"/>
      <c r="E14" s="257"/>
      <c r="F14" s="257"/>
      <c r="G14" s="257"/>
      <c r="H14" s="257"/>
      <c r="I14" s="257"/>
      <c r="J14" s="257"/>
      <c r="K14" s="257"/>
      <c r="L14" s="257"/>
      <c r="M14" s="257"/>
    </row>
    <row r="15" spans="1:13" ht="14.25" customHeight="1">
      <c r="A15" s="257"/>
      <c r="B15" s="257"/>
      <c r="C15" s="257"/>
      <c r="D15" s="257"/>
      <c r="E15" s="257"/>
      <c r="F15" s="257"/>
      <c r="G15" s="257"/>
      <c r="H15" s="257"/>
      <c r="I15" s="257"/>
      <c r="J15" s="257"/>
      <c r="K15" s="257"/>
      <c r="L15" s="257"/>
      <c r="M15" s="257"/>
    </row>
    <row r="16" spans="1:13" ht="14.25" customHeight="1">
      <c r="A16" s="257"/>
      <c r="B16" s="257"/>
      <c r="C16" s="257"/>
      <c r="D16" s="257"/>
      <c r="E16" s="257"/>
      <c r="F16" s="257"/>
      <c r="G16" s="257"/>
      <c r="H16" s="257"/>
      <c r="I16" s="257"/>
      <c r="J16" s="257"/>
      <c r="K16" s="257"/>
      <c r="L16" s="257"/>
      <c r="M16" s="25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M1000"/>
  <sheetViews>
    <sheetView zoomScale="120" zoomScaleNormal="120" workbookViewId="0">
      <selection activeCell="M7" sqref="M7"/>
    </sheetView>
  </sheetViews>
  <sheetFormatPr defaultColWidth="14.42578125" defaultRowHeight="15" customHeight="1"/>
  <cols>
    <col min="1" max="1" width="52" customWidth="1"/>
    <col min="2" max="13" width="15.28515625" customWidth="1"/>
    <col min="14" max="26" width="8.7109375" customWidth="1"/>
  </cols>
  <sheetData>
    <row r="1" spans="1:13" s="90" customFormat="1" ht="14.25" customHeight="1">
      <c r="A1" s="91" t="s">
        <v>169</v>
      </c>
      <c r="B1" s="101" t="s">
        <v>43</v>
      </c>
      <c r="C1" s="101" t="s">
        <v>44</v>
      </c>
      <c r="D1" s="101" t="s">
        <v>45</v>
      </c>
      <c r="E1" s="101" t="s">
        <v>46</v>
      </c>
      <c r="F1" s="101" t="s">
        <v>47</v>
      </c>
      <c r="G1" s="101" t="s">
        <v>48</v>
      </c>
      <c r="H1" s="101" t="s">
        <v>49</v>
      </c>
      <c r="I1" s="101" t="s">
        <v>50</v>
      </c>
      <c r="J1" s="101" t="s">
        <v>51</v>
      </c>
      <c r="K1" s="101" t="s">
        <v>52</v>
      </c>
      <c r="L1" s="101" t="s">
        <v>53</v>
      </c>
      <c r="M1" s="101" t="s">
        <v>54</v>
      </c>
    </row>
    <row r="2" spans="1:13" ht="14.25" customHeight="1">
      <c r="A2" s="250" t="s">
        <v>55</v>
      </c>
      <c r="B2" s="58">
        <v>171.933291</v>
      </c>
      <c r="C2" s="59">
        <v>185.44394299999999</v>
      </c>
      <c r="D2" s="59">
        <v>186.77365699999999</v>
      </c>
      <c r="E2" s="59">
        <v>190.54109299999999</v>
      </c>
      <c r="F2" s="59">
        <v>95.096062000000003</v>
      </c>
      <c r="G2" s="59">
        <v>184.30685299999999</v>
      </c>
      <c r="H2" s="59">
        <v>181.90143900000001</v>
      </c>
      <c r="I2" s="59">
        <v>149.58676500000001</v>
      </c>
      <c r="J2" s="59">
        <v>181.40367599999999</v>
      </c>
      <c r="K2" s="59">
        <v>171.057864</v>
      </c>
      <c r="L2" s="59">
        <v>165.28699900000001</v>
      </c>
      <c r="M2" s="59">
        <v>149.50871699999999</v>
      </c>
    </row>
    <row r="3" spans="1:13" ht="14.25" customHeight="1">
      <c r="A3" s="250" t="s">
        <v>69</v>
      </c>
      <c r="B3" s="58">
        <v>211.968999</v>
      </c>
      <c r="C3" s="58">
        <v>224.199051</v>
      </c>
      <c r="D3" s="58">
        <v>220.53646699999999</v>
      </c>
      <c r="E3" s="58">
        <v>306.76027599999998</v>
      </c>
      <c r="F3" s="58">
        <v>260.052864</v>
      </c>
      <c r="G3" s="58">
        <v>240.21016</v>
      </c>
      <c r="H3" s="58">
        <v>258.160549</v>
      </c>
      <c r="I3" s="58">
        <v>310.884524</v>
      </c>
      <c r="J3" s="58">
        <v>347.651006</v>
      </c>
      <c r="K3" s="58">
        <v>271.99016599999999</v>
      </c>
      <c r="L3" s="58">
        <v>301.18512999999996</v>
      </c>
      <c r="M3" s="58">
        <v>299.782893</v>
      </c>
    </row>
    <row r="4" spans="1:13" ht="14.25" customHeight="1">
      <c r="A4" s="250" t="s">
        <v>84</v>
      </c>
      <c r="B4" s="60">
        <v>234.24199100000001</v>
      </c>
      <c r="C4" s="61">
        <v>203.740703</v>
      </c>
      <c r="D4" s="61">
        <v>192.23546099999999</v>
      </c>
      <c r="E4" s="61">
        <v>176.36956599999999</v>
      </c>
      <c r="F4" s="61">
        <v>206.09105</v>
      </c>
      <c r="G4" s="61">
        <v>141.32156660000001</v>
      </c>
      <c r="H4" s="61">
        <v>214.20249699999999</v>
      </c>
      <c r="I4" s="61">
        <v>211.43019899999999</v>
      </c>
      <c r="J4" s="61">
        <v>141.81421700000001</v>
      </c>
      <c r="K4" s="61">
        <v>118.441136</v>
      </c>
      <c r="L4" s="61">
        <v>116.407369</v>
      </c>
      <c r="M4" s="61">
        <v>140.38033399999998</v>
      </c>
    </row>
    <row r="5" spans="1:13" ht="14.25" customHeight="1">
      <c r="A5" s="292" t="s">
        <v>170</v>
      </c>
      <c r="B5" s="62">
        <v>618.14428099999998</v>
      </c>
      <c r="C5" s="62">
        <v>613.38369699999998</v>
      </c>
      <c r="D5" s="62">
        <v>599.54558499999996</v>
      </c>
      <c r="E5" s="62">
        <v>673.67093499999999</v>
      </c>
      <c r="F5" s="62">
        <v>561.23997600000007</v>
      </c>
      <c r="G5" s="62">
        <v>565.8385796</v>
      </c>
      <c r="H5" s="62">
        <v>654.26448500000004</v>
      </c>
      <c r="I5" s="62">
        <v>671.90148799999997</v>
      </c>
      <c r="J5" s="62">
        <v>670.86889899999994</v>
      </c>
      <c r="K5" s="62">
        <v>561.48916599999995</v>
      </c>
      <c r="L5" s="62">
        <v>582.87949800000001</v>
      </c>
      <c r="M5" s="62">
        <v>589.67194399999994</v>
      </c>
    </row>
    <row r="6" spans="1:13" ht="14.25" customHeight="1">
      <c r="A6" s="251" t="s">
        <v>171</v>
      </c>
      <c r="B6" s="257"/>
      <c r="C6" s="257"/>
      <c r="D6" s="257"/>
      <c r="E6" s="257"/>
      <c r="F6" s="257"/>
      <c r="G6" s="257"/>
      <c r="H6" s="257"/>
      <c r="I6" s="257"/>
      <c r="J6" s="257"/>
      <c r="K6" s="257"/>
      <c r="L6" s="257"/>
      <c r="M6" s="257"/>
    </row>
    <row r="7" spans="1:13" ht="14.25" customHeight="1">
      <c r="A7" s="257"/>
      <c r="B7" s="257"/>
      <c r="C7" s="257"/>
      <c r="D7" s="257"/>
      <c r="E7" s="257"/>
      <c r="F7" s="257"/>
      <c r="G7" s="257"/>
      <c r="H7" s="257"/>
      <c r="I7" s="257"/>
      <c r="J7" s="257"/>
      <c r="K7" s="257"/>
      <c r="L7" s="257"/>
      <c r="M7" s="257"/>
    </row>
    <row r="8" spans="1:13" ht="14.25" customHeight="1">
      <c r="A8" s="257"/>
      <c r="B8" s="257"/>
      <c r="C8" s="257"/>
      <c r="D8" s="257"/>
      <c r="E8" s="257"/>
      <c r="F8" s="257"/>
      <c r="G8" s="257"/>
      <c r="H8" s="257"/>
      <c r="I8" s="257"/>
      <c r="J8" s="257"/>
      <c r="K8" s="257"/>
      <c r="L8" s="257"/>
      <c r="M8" s="257"/>
    </row>
    <row r="9" spans="1:13" ht="14.25" customHeight="1">
      <c r="A9" s="257"/>
      <c r="B9" s="257"/>
      <c r="C9" s="257"/>
      <c r="D9" s="257"/>
      <c r="E9" s="257"/>
      <c r="F9" s="257"/>
      <c r="G9" s="257"/>
      <c r="H9" s="257"/>
      <c r="I9" s="257"/>
      <c r="J9" s="257"/>
      <c r="K9" s="257"/>
      <c r="L9" s="257"/>
      <c r="M9" s="257"/>
    </row>
    <row r="10" spans="1:13" ht="14.25" customHeight="1">
      <c r="A10" s="257"/>
      <c r="B10" s="257"/>
      <c r="C10" s="257"/>
      <c r="D10" s="257"/>
      <c r="E10" s="257"/>
      <c r="F10" s="257"/>
      <c r="G10" s="257"/>
      <c r="H10" s="257"/>
      <c r="I10" s="257"/>
      <c r="J10" s="257"/>
      <c r="K10" s="257"/>
      <c r="L10" s="257"/>
      <c r="M10" s="257"/>
    </row>
    <row r="11" spans="1:13" ht="14.25" customHeight="1">
      <c r="A11" s="257"/>
      <c r="B11" s="257"/>
      <c r="C11" s="257"/>
      <c r="D11" s="257"/>
      <c r="E11" s="257"/>
      <c r="F11" s="257"/>
      <c r="G11" s="257"/>
      <c r="H11" s="257"/>
      <c r="I11" s="257"/>
      <c r="J11" s="257"/>
      <c r="K11" s="257"/>
      <c r="L11" s="257"/>
      <c r="M11" s="257"/>
    </row>
    <row r="12" spans="1:13" ht="14.25" customHeight="1">
      <c r="A12" s="257"/>
      <c r="B12" s="257"/>
      <c r="C12" s="257"/>
      <c r="D12" s="257"/>
      <c r="E12" s="257"/>
      <c r="F12" s="257"/>
      <c r="G12" s="257"/>
      <c r="H12" s="257"/>
      <c r="I12" s="257"/>
      <c r="J12" s="257"/>
      <c r="K12" s="257"/>
      <c r="L12" s="257"/>
      <c r="M12" s="257"/>
    </row>
    <row r="13" spans="1:13" ht="14.25" customHeight="1">
      <c r="A13" s="257"/>
      <c r="B13" s="257"/>
      <c r="C13" s="257"/>
      <c r="D13" s="257"/>
      <c r="E13" s="257"/>
      <c r="F13" s="257"/>
      <c r="G13" s="257"/>
      <c r="H13" s="257"/>
      <c r="I13" s="257"/>
      <c r="J13" s="257"/>
      <c r="K13" s="257"/>
      <c r="L13" s="257"/>
      <c r="M13" s="257"/>
    </row>
    <row r="14" spans="1:13" ht="14.25" customHeight="1">
      <c r="A14" s="257"/>
      <c r="B14" s="257"/>
      <c r="C14" s="257"/>
      <c r="D14" s="257"/>
      <c r="E14" s="257"/>
      <c r="F14" s="257"/>
      <c r="G14" s="257"/>
      <c r="H14" s="257"/>
      <c r="I14" s="257"/>
      <c r="J14" s="257"/>
      <c r="K14" s="257"/>
      <c r="L14" s="257"/>
      <c r="M14" s="257"/>
    </row>
    <row r="15" spans="1:13" ht="14.25" customHeight="1">
      <c r="A15" s="257"/>
      <c r="B15" s="257"/>
      <c r="C15" s="257"/>
      <c r="D15" s="257"/>
      <c r="E15" s="257"/>
      <c r="F15" s="257"/>
      <c r="G15" s="257"/>
      <c r="H15" s="257"/>
      <c r="I15" s="257"/>
      <c r="J15" s="257"/>
      <c r="K15" s="257"/>
      <c r="L15" s="257"/>
      <c r="M15" s="257"/>
    </row>
    <row r="16" spans="1:13" ht="14.25" customHeight="1">
      <c r="A16" s="257"/>
      <c r="B16" s="257"/>
      <c r="C16" s="257"/>
      <c r="D16" s="257"/>
      <c r="E16" s="257"/>
      <c r="F16" s="257"/>
      <c r="G16" s="257"/>
      <c r="H16" s="257"/>
      <c r="I16" s="257"/>
      <c r="J16" s="257"/>
      <c r="K16" s="257"/>
      <c r="L16" s="257"/>
      <c r="M16" s="25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
  <cp:revision/>
  <dcterms:created xsi:type="dcterms:W3CDTF">2019-05-26T11:59:56Z</dcterms:created>
  <dcterms:modified xsi:type="dcterms:W3CDTF">2020-06-16T18:39:25Z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