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paplaczyk\Google Drive\Rocket Reference\Git\rr-tools\"/>
    </mc:Choice>
  </mc:AlternateContent>
  <bookViews>
    <workbookView xWindow="-120" yWindow="-120" windowWidth="29040" windowHeight="15840" activeTab="2"/>
  </bookViews>
  <sheets>
    <sheet name="Launch Vehicles" sheetId="1" r:id="rId1"/>
    <sheet name="Stages" sheetId="3" r:id="rId2"/>
    <sheet name="Egnines" sheetId="2" r:id="rId3"/>
    <sheet name="Propellant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Q11" i="2"/>
  <c r="Q10" i="2"/>
  <c r="Q9" i="2"/>
  <c r="E9" i="2"/>
  <c r="Q7" i="2"/>
  <c r="E6" i="2"/>
  <c r="E5" i="2"/>
  <c r="E4" i="2"/>
  <c r="E3" i="2"/>
  <c r="E2" i="2"/>
  <c r="K9" i="2"/>
  <c r="D9" i="2"/>
  <c r="E7" i="2"/>
  <c r="D6" i="2"/>
  <c r="D5" i="2"/>
  <c r="D4" i="2"/>
  <c r="D3" i="2"/>
  <c r="D2" i="2"/>
  <c r="D11" i="2"/>
  <c r="E10" i="2"/>
  <c r="Q8" i="2"/>
  <c r="E8" i="2"/>
  <c r="D7" i="2"/>
  <c r="Q5" i="2"/>
  <c r="Q4" i="2"/>
  <c r="Q3" i="2"/>
  <c r="Q2" i="2"/>
  <c r="D10" i="2"/>
  <c r="K8" i="2"/>
  <c r="D8" i="2"/>
  <c r="Q6" i="2"/>
  <c r="E11" i="2"/>
  <c r="G13" i="2"/>
  <c r="G11" i="2"/>
  <c r="F11" i="2"/>
  <c r="F5" i="2"/>
  <c r="H4" i="4"/>
  <c r="E3" i="3"/>
  <c r="E2" i="4"/>
  <c r="D2" i="4"/>
  <c r="F4" i="4"/>
  <c r="D3" i="3"/>
  <c r="H2" i="3"/>
  <c r="E4" i="4"/>
  <c r="F2" i="2"/>
  <c r="D4" i="4"/>
  <c r="I51" i="1"/>
  <c r="Q13" i="2"/>
  <c r="G10" i="2"/>
  <c r="F10" i="2"/>
  <c r="F4" i="2"/>
  <c r="H3" i="4"/>
  <c r="J80" i="1"/>
  <c r="C3" i="3"/>
  <c r="G2" i="3"/>
  <c r="F3" i="4"/>
  <c r="I80" i="1"/>
  <c r="H80" i="1"/>
  <c r="G12" i="2"/>
  <c r="F8" i="2"/>
  <c r="H3" i="3"/>
  <c r="J59" i="1"/>
  <c r="E3" i="4"/>
  <c r="Q14" i="2"/>
  <c r="Q12" i="2"/>
  <c r="G9" i="2"/>
  <c r="F9" i="2"/>
  <c r="F3" i="2"/>
  <c r="H2" i="4"/>
  <c r="I59" i="1"/>
  <c r="J51" i="1"/>
  <c r="C2" i="3"/>
  <c r="F2" i="4"/>
  <c r="H59" i="1"/>
  <c r="D3" i="4"/>
  <c r="G14" i="2"/>
  <c r="G8" i="2"/>
  <c r="H51" i="1"/>
  <c r="G3" i="3"/>
  <c r="G4" i="2" l="1"/>
  <c r="G5" i="2"/>
  <c r="G2" i="2"/>
  <c r="G3" i="2"/>
</calcChain>
</file>

<file path=xl/comments1.xml><?xml version="1.0" encoding="utf-8"?>
<comments xmlns="http://schemas.openxmlformats.org/spreadsheetml/2006/main">
  <authors>
    <author>Pap</author>
  </authors>
  <commentList>
    <comment ref="H51" authorId="0" shapeId="0">
      <text>
        <r>
          <rPr>
            <b/>
            <sz val="9"/>
            <color indexed="81"/>
            <rFont val="Tahoma"/>
            <family val="2"/>
          </rPr>
          <t>Top of LES</t>
        </r>
      </text>
    </comment>
  </commentList>
</comments>
</file>

<file path=xl/comments2.xml><?xml version="1.0" encoding="utf-8"?>
<comments xmlns="http://schemas.openxmlformats.org/spreadsheetml/2006/main">
  <authors>
    <author>Pap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Includes the Interstage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Fin Edge to Fin Edge</t>
        </r>
      </text>
    </comment>
  </commentList>
</comments>
</file>

<file path=xl/comments3.xml><?xml version="1.0" encoding="utf-8"?>
<comments xmlns="http://schemas.openxmlformats.org/spreadsheetml/2006/main">
  <authors>
    <author>Pap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Factor Gimbal Mass to be 0.0007 lb per lbf of thrust from 1972 study NASA-CR-129135 Aerosapce Synthesis Program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Factor Gimbal Mass to be 0.0007 lb per lbf of thrust from 1972 study NASA-CR-129135 Aerosapce Synthesis Program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Factor Gimbal Mass to be 0.0007 lb per lbf of thrust from 1972 study NASA-CR-129135 Aerosapce Synthesis Program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Factor Gimbal Mass to be 0.0007 lb per lbf of thrust from 1972 study NASA-CR-129135 Aerosapce Synthesis Program</t>
        </r>
      </text>
    </comment>
  </commentList>
</comments>
</file>

<file path=xl/sharedStrings.xml><?xml version="1.0" encoding="utf-8"?>
<sst xmlns="http://schemas.openxmlformats.org/spreadsheetml/2006/main" count="925" uniqueCount="298">
  <si>
    <t>LV</t>
  </si>
  <si>
    <t>Country</t>
  </si>
  <si>
    <t>Saturn IB</t>
  </si>
  <si>
    <t>USA</t>
  </si>
  <si>
    <t>Height</t>
  </si>
  <si>
    <t>Stage</t>
  </si>
  <si>
    <t>S-IVB</t>
  </si>
  <si>
    <t>Saturn IB, Saturn V</t>
  </si>
  <si>
    <t>Diameter</t>
  </si>
  <si>
    <t>Span</t>
  </si>
  <si>
    <t>S-IB</t>
  </si>
  <si>
    <t>Notes</t>
  </si>
  <si>
    <t>9 Clustered Propellant Tanks</t>
  </si>
  <si>
    <t>Engines</t>
  </si>
  <si>
    <t>4 x H-1C, 4 x H-1D</t>
  </si>
  <si>
    <t>1 x J-2</t>
  </si>
  <si>
    <t>Dry Mass</t>
  </si>
  <si>
    <t>Liftoff Mass</t>
  </si>
  <si>
    <t>Saturn V Skylab</t>
  </si>
  <si>
    <t>Saturn V Apollo</t>
  </si>
  <si>
    <t>Source</t>
  </si>
  <si>
    <t>MSFC-MAN-206 Skylab Saturn IB Flight Manual (1972)</t>
  </si>
  <si>
    <t>Launches</t>
  </si>
  <si>
    <t>Saturn I Block I</t>
  </si>
  <si>
    <t>4 Launches all R&amp;D Flights SA-1 through SA-4</t>
  </si>
  <si>
    <t>6 Launches all R&amp;D Flights SA-5 through SA-10</t>
  </si>
  <si>
    <t>Stages</t>
  </si>
  <si>
    <t>S-I, Dummy Upper Stages</t>
  </si>
  <si>
    <t>S-I, S-IV</t>
  </si>
  <si>
    <t>Saturn I Block II</t>
  </si>
  <si>
    <t>S-IB, S-IVB</t>
  </si>
  <si>
    <t>Engine</t>
  </si>
  <si>
    <t>Thrust (SL)</t>
  </si>
  <si>
    <t>Burn Time</t>
  </si>
  <si>
    <t>ISP (SL)</t>
  </si>
  <si>
    <t>Throttle</t>
  </si>
  <si>
    <t>ISP (Vac)</t>
  </si>
  <si>
    <t>Thrust (Vac)</t>
  </si>
  <si>
    <t>Mixture Ratio</t>
  </si>
  <si>
    <t>Fuel</t>
  </si>
  <si>
    <t>Oxidizer</t>
  </si>
  <si>
    <t>J-2 (High)</t>
  </si>
  <si>
    <t>J-2 (Low)</t>
  </si>
  <si>
    <t>Liquid Hydrogen</t>
  </si>
  <si>
    <t>Length</t>
  </si>
  <si>
    <t>Mass</t>
  </si>
  <si>
    <t>Gimbal Range</t>
  </si>
  <si>
    <t>Gimbal Rate</t>
  </si>
  <si>
    <t>15 deg/s</t>
  </si>
  <si>
    <t>2.23 +/- 2%</t>
  </si>
  <si>
    <t>Chamber Pressure (psia)</t>
  </si>
  <si>
    <t>RP-1</t>
  </si>
  <si>
    <t>LOX</t>
  </si>
  <si>
    <t>H-1C 200k</t>
  </si>
  <si>
    <t>H-1D 200k</t>
  </si>
  <si>
    <t>H-1C 205k</t>
  </si>
  <si>
    <t>H-1D 205k</t>
  </si>
  <si>
    <t>S-I</t>
  </si>
  <si>
    <t>H-1C 165k</t>
  </si>
  <si>
    <t>H-1D 165k</t>
  </si>
  <si>
    <t>SA-1 through SA-4</t>
  </si>
  <si>
    <t>H-1C 188k</t>
  </si>
  <si>
    <t>H-1D 188k</t>
  </si>
  <si>
    <t>SA-5 to SA-10</t>
  </si>
  <si>
    <t>SA-201 to SA-205</t>
  </si>
  <si>
    <t>SA-206+</t>
  </si>
  <si>
    <t>Ignition Timing</t>
  </si>
  <si>
    <t>1.25 s</t>
  </si>
  <si>
    <t>LH2</t>
  </si>
  <si>
    <t>Expansion Ratio</t>
  </si>
  <si>
    <t>8 deg/s</t>
  </si>
  <si>
    <t>Flow Rate</t>
  </si>
  <si>
    <t>3.6 s</t>
  </si>
  <si>
    <t>Name</t>
  </si>
  <si>
    <t>Abbreviation</t>
  </si>
  <si>
    <t>Molecular Weight</t>
  </si>
  <si>
    <t>Freezing Point</t>
  </si>
  <si>
    <t>Boiling Point</t>
  </si>
  <si>
    <t>Critical Temperature</t>
  </si>
  <si>
    <t>Critical Pressure</t>
  </si>
  <si>
    <t>Liquid Density (kg/L)</t>
  </si>
  <si>
    <t>Nitrogen Tetroxide</t>
  </si>
  <si>
    <t>N2O4 (NTO)</t>
  </si>
  <si>
    <t>Monomethyl Hydrazine</t>
  </si>
  <si>
    <t>MMH</t>
  </si>
  <si>
    <t>Not sensityive to impact or friction</t>
  </si>
  <si>
    <t>Extremely miscible in water</t>
  </si>
  <si>
    <t>Will react with CO2 and O2 in air</t>
  </si>
  <si>
    <t>Very Caustic</t>
  </si>
  <si>
    <t>Very Hygroscopic</t>
  </si>
  <si>
    <t>Ignites spontaneously if exposed to a large surface</t>
  </si>
  <si>
    <t>Freezing has no effects on the chemical properties</t>
  </si>
  <si>
    <t>Corrosive, oxidizing agent</t>
  </si>
  <si>
    <t>Hypergolic with UDMH, Hydrazine, Aniline, Furfuryl Alcohol</t>
  </si>
  <si>
    <t>Not sensitive to heat, mechanical shock or detonation</t>
  </si>
  <si>
    <t>Nonfalmmable with Air</t>
  </si>
  <si>
    <t>Very stable at room temperature</t>
  </si>
  <si>
    <t>Stable against mechanical shock in pure form</t>
  </si>
  <si>
    <t>Impact sensitive if contaminated with liquid air or oxygen ice</t>
  </si>
  <si>
    <t>Highly flammable when mixed with air, low ignition temperature</t>
  </si>
  <si>
    <t>First Flight</t>
  </si>
  <si>
    <t>Sources</t>
  </si>
  <si>
    <t>No</t>
  </si>
  <si>
    <t>ST1</t>
  </si>
  <si>
    <t>First Launch</t>
  </si>
  <si>
    <t>SA-201 to SA-203 R&amp;D Flgihts, SA-206 to SA-209 Skylab</t>
  </si>
  <si>
    <t>Vanguard</t>
  </si>
  <si>
    <t>Family</t>
  </si>
  <si>
    <t>Saturn</t>
  </si>
  <si>
    <t>Juno I</t>
  </si>
  <si>
    <t>Juno</t>
  </si>
  <si>
    <t>Thor-Able I</t>
  </si>
  <si>
    <t>Thor / Delta</t>
  </si>
  <si>
    <t>Juno II</t>
  </si>
  <si>
    <t>Atlas B</t>
  </si>
  <si>
    <t>Atlas</t>
  </si>
  <si>
    <t>Thor Agena A</t>
  </si>
  <si>
    <t>Titan I</t>
  </si>
  <si>
    <t>Titan</t>
  </si>
  <si>
    <t>Thor-Able II</t>
  </si>
  <si>
    <t>Atlas D Able II</t>
  </si>
  <si>
    <t>LV-3 Agena A</t>
  </si>
  <si>
    <t>Thor-Able Star</t>
  </si>
  <si>
    <t>Thor-Delta</t>
  </si>
  <si>
    <t>Atlas D/Mercury</t>
  </si>
  <si>
    <t>Redstone-Mercury</t>
  </si>
  <si>
    <t>Redstone</t>
  </si>
  <si>
    <t>Scout X-1</t>
  </si>
  <si>
    <t>Scout</t>
  </si>
  <si>
    <t>Thor Agena B.2</t>
  </si>
  <si>
    <t>Titan III</t>
  </si>
  <si>
    <t>Scout X-2</t>
  </si>
  <si>
    <t>Scout X-2M</t>
  </si>
  <si>
    <t>Thor Agena D</t>
  </si>
  <si>
    <t>Delta A</t>
  </si>
  <si>
    <t>Delta C</t>
  </si>
  <si>
    <t>Delta B</t>
  </si>
  <si>
    <t>Scout X-3</t>
  </si>
  <si>
    <t>Scout X-3M</t>
  </si>
  <si>
    <t>TAT Agena D</t>
  </si>
  <si>
    <t>Scout X-4</t>
  </si>
  <si>
    <t>Scout X-2B</t>
  </si>
  <si>
    <t>Atlas F/OV</t>
  </si>
  <si>
    <t>Titan 2 GLV</t>
  </si>
  <si>
    <t>Delta D</t>
  </si>
  <si>
    <t>Titan 3A</t>
  </si>
  <si>
    <t>Atlas D/OV</t>
  </si>
  <si>
    <t>Thor Burner I</t>
  </si>
  <si>
    <t>Titan 3C</t>
  </si>
  <si>
    <t>Scout B</t>
  </si>
  <si>
    <t>Delta E</t>
  </si>
  <si>
    <t>Scout A</t>
  </si>
  <si>
    <t>Delta C1</t>
  </si>
  <si>
    <t>Delta E1</t>
  </si>
  <si>
    <t>Titan 3B</t>
  </si>
  <si>
    <t>Thorad Agena</t>
  </si>
  <si>
    <t>Thor Burner II</t>
  </si>
  <si>
    <t>Delta G</t>
  </si>
  <si>
    <t>Delta J</t>
  </si>
  <si>
    <t>Delta M</t>
  </si>
  <si>
    <t>Delta N</t>
  </si>
  <si>
    <t>Delta L</t>
  </si>
  <si>
    <t>Delta N6</t>
  </si>
  <si>
    <t>Titan 3C+</t>
  </si>
  <si>
    <t>Titan 3B+ (23B)</t>
  </si>
  <si>
    <t>Delta M6</t>
  </si>
  <si>
    <t>Titan 3B mod (33B)</t>
  </si>
  <si>
    <t>Titan 3D</t>
  </si>
  <si>
    <t>Titan 3BS (24B)</t>
  </si>
  <si>
    <t>Scout B-1</t>
  </si>
  <si>
    <t>Thor Burner IIA</t>
  </si>
  <si>
    <t>Delta 0900</t>
  </si>
  <si>
    <t>Scout D-1</t>
  </si>
  <si>
    <t>Delta 1604</t>
  </si>
  <si>
    <t>Atlas - Burner II</t>
  </si>
  <si>
    <t>Delta 1914</t>
  </si>
  <si>
    <t>SLV-3D Centaur</t>
  </si>
  <si>
    <t>Delta 1913</t>
  </si>
  <si>
    <t>Scout A-1</t>
  </si>
  <si>
    <t>Delta 1900</t>
  </si>
  <si>
    <t>Delta 2304</t>
  </si>
  <si>
    <t>Titan 3E</t>
  </si>
  <si>
    <t>Delta 2914</t>
  </si>
  <si>
    <t>Scout E-1</t>
  </si>
  <si>
    <t>Atlas - PTS</t>
  </si>
  <si>
    <t>Delta 2310</t>
  </si>
  <si>
    <t>Delta 2313</t>
  </si>
  <si>
    <t>Delta 2910</t>
  </si>
  <si>
    <t>Titan 3BS mod (34B)</t>
  </si>
  <si>
    <t>Scout F-1</t>
  </si>
  <si>
    <t>Delta 2913</t>
  </si>
  <si>
    <t>Delta 3914</t>
  </si>
  <si>
    <t>Thor-ISS</t>
  </si>
  <si>
    <t>Atlas - SGS-1</t>
  </si>
  <si>
    <t>Atlas - Agena</t>
  </si>
  <si>
    <t>Atlas - OIS</t>
  </si>
  <si>
    <t>Scout G-1</t>
  </si>
  <si>
    <t>Delta 3910</t>
  </si>
  <si>
    <t>Delta 3915</t>
  </si>
  <si>
    <t>Space Shuttle (SSME Baseline)</t>
  </si>
  <si>
    <t>Space Shuttle</t>
  </si>
  <si>
    <t>Delta 3913</t>
  </si>
  <si>
    <t>Delta 3920</t>
  </si>
  <si>
    <t>Delta 3925</t>
  </si>
  <si>
    <t>Delta 3924</t>
  </si>
  <si>
    <t>Titan 34D</t>
  </si>
  <si>
    <t>Atlas - MSD</t>
  </si>
  <si>
    <t>Space Shuttle (SSME Phase-1)</t>
  </si>
  <si>
    <t>Atlas - SGS-2</t>
  </si>
  <si>
    <t>Atlas-G Centaur</t>
  </si>
  <si>
    <t>Atlas V</t>
  </si>
  <si>
    <t>Space Shuttle (SSME Phase-2)</t>
  </si>
  <si>
    <t>Delta 6925</t>
  </si>
  <si>
    <t>Titan IVA (IUS)</t>
  </si>
  <si>
    <t>Delta 4925</t>
  </si>
  <si>
    <t>Delta 5920</t>
  </si>
  <si>
    <t>Delta 6920</t>
  </si>
  <si>
    <t>Atlas - Burner I</t>
  </si>
  <si>
    <t>Titan IVA (34D7)</t>
  </si>
  <si>
    <t>Atlas I</t>
  </si>
  <si>
    <t>Delta 7925</t>
  </si>
  <si>
    <t>Atlas II</t>
  </si>
  <si>
    <t>Atlas IIA</t>
  </si>
  <si>
    <t>Atlas IIAS</t>
  </si>
  <si>
    <t>Space Shuttle (SSME Block-I)</t>
  </si>
  <si>
    <t>Delta 7920</t>
  </si>
  <si>
    <t>Space Shuttle (SSME Block-IA)</t>
  </si>
  <si>
    <t>Titan IVB (IUS)</t>
  </si>
  <si>
    <t>Athena I (LMLV-1)</t>
  </si>
  <si>
    <t>Athena</t>
  </si>
  <si>
    <t>Titan IVB (Centaur)</t>
  </si>
  <si>
    <t>Athena II</t>
  </si>
  <si>
    <t>Space Shuttle (SSME Block-IIA)</t>
  </si>
  <si>
    <t>Delta 7420</t>
  </si>
  <si>
    <t>Delta 7326</t>
  </si>
  <si>
    <t>Delta 7425</t>
  </si>
  <si>
    <t>Delta 7426</t>
  </si>
  <si>
    <t>Titan IVB</t>
  </si>
  <si>
    <t>Delta 7320</t>
  </si>
  <si>
    <t>Minotaur-I</t>
  </si>
  <si>
    <t>Minotaur</t>
  </si>
  <si>
    <t>Atlas IIIA</t>
  </si>
  <si>
    <t>Atlas IIIB</t>
  </si>
  <si>
    <t>Space Shuttle (SSME Block-II)</t>
  </si>
  <si>
    <t>Atlas V (401)</t>
  </si>
  <si>
    <t>Delta IV-M+ (4,2)</t>
  </si>
  <si>
    <t>Delta IV</t>
  </si>
  <si>
    <t>Delta IV-M</t>
  </si>
  <si>
    <t>Delta 7925-H</t>
  </si>
  <si>
    <t>Atlas V (521)</t>
  </si>
  <si>
    <t>Delta IV-HLV</t>
  </si>
  <si>
    <t>Atlas V (431)</t>
  </si>
  <si>
    <t>Atlas V (551)</t>
  </si>
  <si>
    <t>Atlas V (411)</t>
  </si>
  <si>
    <t>Atlas V (421)</t>
  </si>
  <si>
    <t>Delta IV-M+ (5,4)</t>
  </si>
  <si>
    <t>Atlas V (501)</t>
  </si>
  <si>
    <t>Falcon-9 (B1)</t>
  </si>
  <si>
    <t>Falcon</t>
  </si>
  <si>
    <t>Atlas V (531)</t>
  </si>
  <si>
    <t>Minotaur-IV</t>
  </si>
  <si>
    <t>Minotaur-IV+</t>
  </si>
  <si>
    <t>Atlas V (541)</t>
  </si>
  <si>
    <t>Delta IV-M+ (5,2)</t>
  </si>
  <si>
    <t>Antares 110</t>
  </si>
  <si>
    <t>Antares</t>
  </si>
  <si>
    <t>Minotaur-V</t>
  </si>
  <si>
    <t>Falcon-9 (v1.1)</t>
  </si>
  <si>
    <t>Antares  120</t>
  </si>
  <si>
    <t>Antares  130</t>
  </si>
  <si>
    <t>Falcon-9 (v1.2)</t>
  </si>
  <si>
    <t>Saturn (Family)</t>
  </si>
  <si>
    <t>Thor-Delta (Family)</t>
  </si>
  <si>
    <t>Atlas (Family)</t>
  </si>
  <si>
    <t>Scout (Family)</t>
  </si>
  <si>
    <t>Titan (Family)</t>
  </si>
  <si>
    <t>Falcon (Family)</t>
  </si>
  <si>
    <t>Space</t>
  </si>
  <si>
    <t>Orbital Flights</t>
  </si>
  <si>
    <t>Last Launch</t>
  </si>
  <si>
    <t>4 (SO)</t>
  </si>
  <si>
    <t>7, 2 (SO)</t>
  </si>
  <si>
    <t>Atlas LV-3 Agena B.1</t>
  </si>
  <si>
    <t>Atlas LV-3C Centaur</t>
  </si>
  <si>
    <t>Atlas LV-3 Agena B.2</t>
  </si>
  <si>
    <t>Atlas SLV-3 Agena D</t>
  </si>
  <si>
    <t>Atlas SLV-3C Centaur</t>
  </si>
  <si>
    <t>Atlas SLV-3A Agena D</t>
  </si>
  <si>
    <t>Atlas SLV-3D Centaur</t>
  </si>
  <si>
    <t>Atlas E/F Star 37S-ISS</t>
  </si>
  <si>
    <t>Space Shuttle (Family)</t>
  </si>
  <si>
    <t>Atlas V (Family)</t>
  </si>
  <si>
    <t>Delta IV (Family)</t>
  </si>
  <si>
    <t>Agency</t>
  </si>
  <si>
    <t>NASA</t>
  </si>
  <si>
    <t>J-2 200K</t>
  </si>
  <si>
    <t>S-II, S-IVB</t>
  </si>
  <si>
    <t>J-2 225K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</si>
</sst>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%20paplaczyk/AppData/Roaming/Microsoft/AddIns/PapUDF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%20paplaczyk/AppData/Roaming/Microsoft/AddIns/Personal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2C"/>
      <definedName name="FT2M"/>
      <definedName name="IN2M"/>
      <definedName name="LB2KG"/>
      <definedName name="LBF2KN"/>
      <definedName name="LBG2KG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UDF"/>
    </sheetNames>
    <definedNames>
      <definedName name="IN2M"/>
      <definedName name="LB2KG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M180" totalsRowShown="0">
  <autoFilter ref="A1:M180">
    <filterColumn colId="0">
      <colorFilter dxfId="7"/>
    </filterColumn>
  </autoFilter>
  <sortState ref="A2:M180">
    <sortCondition ref="E1:E180"/>
  </sortState>
  <tableColumns count="13">
    <tableColumn id="1" name="LV"/>
    <tableColumn id="2" name="Country"/>
    <tableColumn id="3" name="Family"/>
    <tableColumn id="13" name="Agency"/>
    <tableColumn id="4" name="First Launch" dataDxfId="6"/>
    <tableColumn id="5" name="Last Launch" dataDxfId="5"/>
    <tableColumn id="6" name="Orbital Flights"/>
    <tableColumn id="7" name="Height"/>
    <tableColumn id="8" name="Dry Mass"/>
    <tableColumn id="9" name="Liftoff Mass"/>
    <tableColumn id="10" name="Stages"/>
    <tableColumn id="11" name="Source"/>
    <tableColumn id="12" name="Launche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1:X14" totalsRowShown="0">
  <autoFilter ref="A1:X14"/>
  <sortState ref="A2:W11">
    <sortCondition ref="V1:V11"/>
  </sortState>
  <tableColumns count="24">
    <tableColumn id="1" name="Engine"/>
    <tableColumn id="2" name="Stage"/>
    <tableColumn id="3" name="LV"/>
    <tableColumn id="4" name="Length">
      <calculatedColumnFormula>[1]!IN2M(101.61)</calculatedColumnFormula>
    </tableColumn>
    <tableColumn id="5" name="Diameter">
      <calculatedColumnFormula>[1]!IN2M(45.49)</calculatedColumnFormula>
    </tableColumn>
    <tableColumn id="6" name="Thrust (SL)"/>
    <tableColumn id="7" name="Thrust (Vac)"/>
    <tableColumn id="8" name="Burn Time"/>
    <tableColumn id="9" name="ISP (SL)"/>
    <tableColumn id="10" name="ISP (Vac)"/>
    <tableColumn id="11" name="Flow Rate"/>
    <tableColumn id="12" name="Throttle"/>
    <tableColumn id="13" name="Fuel"/>
    <tableColumn id="14" name="Oxidizer"/>
    <tableColumn id="15" name="Mixture Ratio"/>
    <tableColumn id="16" name="Expansion Ratio"/>
    <tableColumn id="17" name="Mass"/>
    <tableColumn id="18" name="Chamber Pressure (psia)"/>
    <tableColumn id="19" name="Gimbal Range"/>
    <tableColumn id="20" name="Gimbal Rate" dataDxfId="4"/>
    <tableColumn id="21" name="Ignition Timing" dataDxfId="3"/>
    <tableColumn id="22" name="First Flight" dataDxfId="2"/>
    <tableColumn id="23" name="Notes" dataDxfId="1"/>
    <tableColumn id="24" name="Source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80"/>
  <sheetViews>
    <sheetView topLeftCell="A39" workbookViewId="0">
      <selection sqref="A1:D180"/>
    </sheetView>
  </sheetViews>
  <sheetFormatPr defaultRowHeight="15" x14ac:dyDescent="0.25"/>
  <cols>
    <col min="1" max="1" width="28.42578125" bestFit="1" customWidth="1"/>
    <col min="2" max="2" width="10.140625" customWidth="1"/>
    <col min="3" max="3" width="13.140625" bestFit="1" customWidth="1"/>
    <col min="4" max="4" width="13.140625" customWidth="1"/>
    <col min="5" max="5" width="13.5703125" style="2" customWidth="1"/>
    <col min="6" max="6" width="13.140625" style="2" customWidth="1"/>
    <col min="7" max="7" width="15.5703125" customWidth="1"/>
    <col min="8" max="8" width="11" bestFit="1" customWidth="1"/>
    <col min="9" max="9" width="11.140625" customWidth="1"/>
    <col min="10" max="10" width="13.5703125" customWidth="1"/>
    <col min="11" max="11" width="23.5703125" bestFit="1" customWidth="1"/>
    <col min="12" max="12" width="48.7109375" bestFit="1" customWidth="1"/>
    <col min="13" max="13" width="49.42578125" bestFit="1" customWidth="1"/>
  </cols>
  <sheetData>
    <row r="1" spans="1:13" x14ac:dyDescent="0.25">
      <c r="A1" t="s">
        <v>0</v>
      </c>
      <c r="B1" t="s">
        <v>1</v>
      </c>
      <c r="C1" t="s">
        <v>107</v>
      </c>
      <c r="D1" t="s">
        <v>293</v>
      </c>
      <c r="E1" s="2" t="s">
        <v>104</v>
      </c>
      <c r="F1" s="2" t="s">
        <v>279</v>
      </c>
      <c r="G1" t="s">
        <v>278</v>
      </c>
      <c r="H1" t="s">
        <v>4</v>
      </c>
      <c r="I1" t="s">
        <v>16</v>
      </c>
      <c r="J1" t="s">
        <v>17</v>
      </c>
      <c r="K1" t="s">
        <v>26</v>
      </c>
      <c r="L1" t="s">
        <v>20</v>
      </c>
      <c r="M1" t="s">
        <v>22</v>
      </c>
    </row>
    <row r="2" spans="1:13" x14ac:dyDescent="0.25">
      <c r="A2" s="3" t="s">
        <v>106</v>
      </c>
      <c r="B2" t="s">
        <v>3</v>
      </c>
      <c r="C2" t="s">
        <v>106</v>
      </c>
      <c r="D2" t="s">
        <v>294</v>
      </c>
      <c r="E2" s="2">
        <v>21160</v>
      </c>
      <c r="F2" s="2">
        <v>21811</v>
      </c>
      <c r="G2">
        <v>11</v>
      </c>
    </row>
    <row r="3" spans="1:13" x14ac:dyDescent="0.25">
      <c r="A3" s="3" t="s">
        <v>109</v>
      </c>
      <c r="B3" t="s">
        <v>3</v>
      </c>
      <c r="C3" t="s">
        <v>110</v>
      </c>
      <c r="D3" t="s">
        <v>294</v>
      </c>
      <c r="E3" s="2">
        <v>21217</v>
      </c>
      <c r="F3" s="2">
        <v>21480</v>
      </c>
      <c r="G3">
        <v>6</v>
      </c>
    </row>
    <row r="4" spans="1:13" x14ac:dyDescent="0.25">
      <c r="A4" s="3" t="s">
        <v>272</v>
      </c>
      <c r="B4" t="s">
        <v>3</v>
      </c>
      <c r="C4" t="s">
        <v>123</v>
      </c>
      <c r="D4" t="s">
        <v>294</v>
      </c>
      <c r="E4" s="2">
        <v>21414</v>
      </c>
      <c r="F4" s="2">
        <v>39352</v>
      </c>
    </row>
    <row r="5" spans="1:13" x14ac:dyDescent="0.25">
      <c r="A5" s="3" t="s">
        <v>111</v>
      </c>
      <c r="B5" t="s">
        <v>3</v>
      </c>
      <c r="C5" t="s">
        <v>112</v>
      </c>
      <c r="D5" t="s">
        <v>294</v>
      </c>
      <c r="E5" s="2">
        <v>21414</v>
      </c>
      <c r="F5" s="2">
        <v>21497</v>
      </c>
      <c r="G5">
        <v>3</v>
      </c>
    </row>
    <row r="6" spans="1:13" x14ac:dyDescent="0.25">
      <c r="A6" s="3" t="s">
        <v>113</v>
      </c>
      <c r="B6" t="s">
        <v>3</v>
      </c>
      <c r="C6" t="s">
        <v>110</v>
      </c>
      <c r="D6" t="s">
        <v>294</v>
      </c>
      <c r="E6" s="2">
        <v>21525</v>
      </c>
      <c r="F6" s="2">
        <v>22425</v>
      </c>
      <c r="G6">
        <v>10</v>
      </c>
    </row>
    <row r="7" spans="1:13" x14ac:dyDescent="0.25">
      <c r="A7" s="3" t="s">
        <v>273</v>
      </c>
      <c r="B7" t="s">
        <v>3</v>
      </c>
      <c r="C7" t="s">
        <v>115</v>
      </c>
      <c r="D7" t="s">
        <v>294</v>
      </c>
      <c r="E7" s="2">
        <v>21537</v>
      </c>
      <c r="F7" s="2">
        <v>38386</v>
      </c>
    </row>
    <row r="8" spans="1:13" hidden="1" x14ac:dyDescent="0.25">
      <c r="A8" t="s">
        <v>114</v>
      </c>
      <c r="B8" t="s">
        <v>3</v>
      </c>
      <c r="C8" t="s">
        <v>115</v>
      </c>
      <c r="D8" t="s">
        <v>294</v>
      </c>
      <c r="E8" s="2">
        <v>21537</v>
      </c>
      <c r="F8" s="2">
        <v>21537</v>
      </c>
      <c r="G8">
        <v>1</v>
      </c>
    </row>
    <row r="9" spans="1:13" x14ac:dyDescent="0.25">
      <c r="A9" s="3" t="s">
        <v>116</v>
      </c>
      <c r="B9" t="s">
        <v>3</v>
      </c>
      <c r="C9" t="s">
        <v>112</v>
      </c>
      <c r="D9" t="s">
        <v>294</v>
      </c>
      <c r="E9" s="2">
        <v>21571</v>
      </c>
      <c r="F9" s="2">
        <v>22172</v>
      </c>
      <c r="G9">
        <v>16</v>
      </c>
    </row>
    <row r="10" spans="1:13" hidden="1" x14ac:dyDescent="0.25">
      <c r="A10" t="s">
        <v>117</v>
      </c>
      <c r="B10" t="s">
        <v>3</v>
      </c>
      <c r="C10" t="s">
        <v>118</v>
      </c>
      <c r="D10" t="s">
        <v>294</v>
      </c>
      <c r="E10" s="2">
        <v>21587</v>
      </c>
      <c r="F10" s="2">
        <v>23806</v>
      </c>
      <c r="G10">
        <v>68</v>
      </c>
    </row>
    <row r="11" spans="1:13" x14ac:dyDescent="0.25">
      <c r="A11" s="3" t="s">
        <v>275</v>
      </c>
      <c r="B11" t="s">
        <v>3</v>
      </c>
      <c r="C11" t="s">
        <v>118</v>
      </c>
      <c r="D11" t="s">
        <v>294</v>
      </c>
      <c r="E11" s="2">
        <v>21587</v>
      </c>
      <c r="F11" s="2">
        <v>38644</v>
      </c>
    </row>
    <row r="12" spans="1:13" x14ac:dyDescent="0.25">
      <c r="A12" s="3" t="s">
        <v>119</v>
      </c>
      <c r="B12" t="s">
        <v>3</v>
      </c>
      <c r="C12" t="s">
        <v>112</v>
      </c>
      <c r="D12" t="s">
        <v>294</v>
      </c>
      <c r="E12" s="2">
        <v>21769</v>
      </c>
      <c r="F12" s="2">
        <v>22007</v>
      </c>
      <c r="G12">
        <v>4</v>
      </c>
    </row>
    <row r="13" spans="1:13" hidden="1" x14ac:dyDescent="0.25">
      <c r="A13" t="s">
        <v>120</v>
      </c>
      <c r="B13" t="s">
        <v>3</v>
      </c>
      <c r="C13" t="s">
        <v>115</v>
      </c>
      <c r="D13" t="s">
        <v>294</v>
      </c>
      <c r="E13" s="2">
        <v>21817</v>
      </c>
      <c r="F13" s="2">
        <v>22265</v>
      </c>
      <c r="G13">
        <v>3</v>
      </c>
    </row>
    <row r="14" spans="1:13" hidden="1" x14ac:dyDescent="0.25">
      <c r="A14" t="s">
        <v>121</v>
      </c>
      <c r="B14" t="s">
        <v>3</v>
      </c>
      <c r="C14" t="s">
        <v>115</v>
      </c>
      <c r="D14" t="s">
        <v>294</v>
      </c>
      <c r="E14" s="2">
        <v>21972</v>
      </c>
      <c r="F14" s="2">
        <v>22312</v>
      </c>
      <c r="G14">
        <v>4</v>
      </c>
    </row>
    <row r="15" spans="1:13" x14ac:dyDescent="0.25">
      <c r="A15" s="3" t="s">
        <v>122</v>
      </c>
      <c r="B15" t="s">
        <v>3</v>
      </c>
      <c r="C15" t="s">
        <v>112</v>
      </c>
      <c r="D15" t="s">
        <v>294</v>
      </c>
      <c r="E15" s="2">
        <v>22019</v>
      </c>
      <c r="F15" s="2">
        <v>23967</v>
      </c>
      <c r="G15">
        <v>19</v>
      </c>
    </row>
    <row r="16" spans="1:13" x14ac:dyDescent="0.25">
      <c r="A16" s="3" t="s">
        <v>123</v>
      </c>
      <c r="B16" t="s">
        <v>3</v>
      </c>
      <c r="C16" t="s">
        <v>112</v>
      </c>
      <c r="D16" t="s">
        <v>294</v>
      </c>
      <c r="E16" s="2">
        <v>22049</v>
      </c>
      <c r="F16" s="2">
        <v>22907</v>
      </c>
      <c r="G16">
        <v>12</v>
      </c>
    </row>
    <row r="17" spans="1:13" hidden="1" x14ac:dyDescent="0.25">
      <c r="A17" t="s">
        <v>124</v>
      </c>
      <c r="B17" t="s">
        <v>3</v>
      </c>
      <c r="C17" t="s">
        <v>115</v>
      </c>
      <c r="D17" t="s">
        <v>294</v>
      </c>
      <c r="E17" s="2">
        <v>22126</v>
      </c>
      <c r="F17" s="2">
        <v>23146</v>
      </c>
      <c r="G17">
        <v>8</v>
      </c>
    </row>
    <row r="18" spans="1:13" x14ac:dyDescent="0.25">
      <c r="A18" s="3" t="s">
        <v>125</v>
      </c>
      <c r="B18" t="s">
        <v>3</v>
      </c>
      <c r="C18" t="s">
        <v>126</v>
      </c>
      <c r="D18" t="s">
        <v>294</v>
      </c>
      <c r="E18" s="2">
        <v>22241</v>
      </c>
      <c r="F18" s="2">
        <v>22483</v>
      </c>
      <c r="G18">
        <v>-5</v>
      </c>
    </row>
    <row r="19" spans="1:13" x14ac:dyDescent="0.25">
      <c r="A19" s="3" t="s">
        <v>127</v>
      </c>
      <c r="B19" t="s">
        <v>3</v>
      </c>
      <c r="C19" t="s">
        <v>128</v>
      </c>
      <c r="D19" t="s">
        <v>294</v>
      </c>
      <c r="E19" s="2">
        <v>22254</v>
      </c>
      <c r="F19" s="2">
        <v>22518</v>
      </c>
      <c r="G19">
        <v>4</v>
      </c>
    </row>
    <row r="20" spans="1:13" x14ac:dyDescent="0.25">
      <c r="A20" s="3" t="s">
        <v>274</v>
      </c>
      <c r="B20" t="s">
        <v>3</v>
      </c>
      <c r="C20" t="s">
        <v>128</v>
      </c>
      <c r="D20" t="s">
        <v>294</v>
      </c>
      <c r="E20" s="2">
        <v>22254</v>
      </c>
      <c r="F20" s="2">
        <v>34463</v>
      </c>
    </row>
    <row r="21" spans="1:13" x14ac:dyDescent="0.25">
      <c r="A21" s="3" t="s">
        <v>282</v>
      </c>
      <c r="B21" t="s">
        <v>3</v>
      </c>
      <c r="C21" t="s">
        <v>115</v>
      </c>
      <c r="D21" t="s">
        <v>294</v>
      </c>
      <c r="E21" s="2">
        <v>22474</v>
      </c>
      <c r="F21" s="2">
        <v>22759</v>
      </c>
      <c r="G21">
        <v>11</v>
      </c>
    </row>
    <row r="22" spans="1:13" x14ac:dyDescent="0.25">
      <c r="A22" s="3" t="s">
        <v>271</v>
      </c>
      <c r="B22" t="s">
        <v>3</v>
      </c>
      <c r="C22" t="s">
        <v>108</v>
      </c>
      <c r="D22" t="s">
        <v>294</v>
      </c>
      <c r="E22" s="2">
        <v>22581</v>
      </c>
      <c r="F22" s="2">
        <v>27590</v>
      </c>
    </row>
    <row r="23" spans="1:13" x14ac:dyDescent="0.25">
      <c r="A23" s="3" t="s">
        <v>23</v>
      </c>
      <c r="B23" t="s">
        <v>3</v>
      </c>
      <c r="C23" t="s">
        <v>108</v>
      </c>
      <c r="D23" t="s">
        <v>294</v>
      </c>
      <c r="E23" s="2">
        <v>22581</v>
      </c>
      <c r="F23" s="2">
        <v>23098</v>
      </c>
      <c r="G23" t="s">
        <v>280</v>
      </c>
      <c r="K23" t="s">
        <v>27</v>
      </c>
      <c r="L23" t="s">
        <v>21</v>
      </c>
      <c r="M23" t="s">
        <v>24</v>
      </c>
    </row>
    <row r="24" spans="1:13" x14ac:dyDescent="0.25">
      <c r="A24" s="3" t="s">
        <v>129</v>
      </c>
      <c r="B24" t="s">
        <v>3</v>
      </c>
      <c r="C24" t="s">
        <v>112</v>
      </c>
      <c r="D24" t="s">
        <v>294</v>
      </c>
      <c r="E24" s="2">
        <v>22698</v>
      </c>
      <c r="F24" s="2">
        <v>24075</v>
      </c>
      <c r="G24">
        <v>21</v>
      </c>
    </row>
    <row r="25" spans="1:13" x14ac:dyDescent="0.25">
      <c r="A25" s="3" t="s">
        <v>130</v>
      </c>
      <c r="B25" t="s">
        <v>3</v>
      </c>
      <c r="C25" t="s">
        <v>118</v>
      </c>
      <c r="D25" t="s">
        <v>294</v>
      </c>
      <c r="E25" s="2">
        <v>22721</v>
      </c>
      <c r="F25" s="2">
        <v>27939</v>
      </c>
      <c r="G25">
        <v>81</v>
      </c>
    </row>
    <row r="26" spans="1:13" hidden="1" x14ac:dyDescent="0.25">
      <c r="A26" t="s">
        <v>131</v>
      </c>
      <c r="B26" t="s">
        <v>3</v>
      </c>
      <c r="C26" t="s">
        <v>128</v>
      </c>
      <c r="D26" t="s">
        <v>294</v>
      </c>
      <c r="E26" s="2">
        <v>22762</v>
      </c>
      <c r="F26" s="2">
        <v>22762</v>
      </c>
      <c r="G26">
        <v>1</v>
      </c>
    </row>
    <row r="27" spans="1:13" x14ac:dyDescent="0.25">
      <c r="A27" s="3" t="s">
        <v>283</v>
      </c>
      <c r="B27" t="s">
        <v>3</v>
      </c>
      <c r="C27" t="s">
        <v>115</v>
      </c>
      <c r="D27" t="s">
        <v>294</v>
      </c>
      <c r="E27" s="2">
        <v>22774</v>
      </c>
      <c r="F27" s="2">
        <v>24667</v>
      </c>
      <c r="G27">
        <v>12</v>
      </c>
    </row>
    <row r="28" spans="1:13" hidden="1" x14ac:dyDescent="0.25">
      <c r="A28" t="s">
        <v>132</v>
      </c>
      <c r="B28" t="s">
        <v>3</v>
      </c>
      <c r="C28" t="s">
        <v>128</v>
      </c>
      <c r="D28" t="s">
        <v>294</v>
      </c>
      <c r="E28" s="2">
        <v>22790</v>
      </c>
      <c r="F28" s="2">
        <v>23127</v>
      </c>
      <c r="G28">
        <v>3</v>
      </c>
    </row>
    <row r="29" spans="1:13" x14ac:dyDescent="0.25">
      <c r="A29" s="3" t="s">
        <v>133</v>
      </c>
      <c r="B29" t="s">
        <v>3</v>
      </c>
      <c r="C29" t="s">
        <v>112</v>
      </c>
      <c r="D29" t="s">
        <v>294</v>
      </c>
      <c r="E29" s="2">
        <v>22825</v>
      </c>
      <c r="F29" s="2">
        <v>24623</v>
      </c>
      <c r="G29">
        <v>22</v>
      </c>
    </row>
    <row r="30" spans="1:13" hidden="1" x14ac:dyDescent="0.25">
      <c r="A30" t="s">
        <v>134</v>
      </c>
      <c r="B30" t="s">
        <v>3</v>
      </c>
      <c r="C30" t="s">
        <v>112</v>
      </c>
      <c r="D30" t="s">
        <v>294</v>
      </c>
      <c r="E30" s="2">
        <v>22921</v>
      </c>
      <c r="F30" s="2">
        <v>22946</v>
      </c>
      <c r="G30">
        <v>2</v>
      </c>
    </row>
    <row r="31" spans="1:13" x14ac:dyDescent="0.25">
      <c r="A31" s="3" t="s">
        <v>284</v>
      </c>
      <c r="B31" t="s">
        <v>3</v>
      </c>
      <c r="C31" t="s">
        <v>115</v>
      </c>
      <c r="D31" t="s">
        <v>294</v>
      </c>
      <c r="E31" s="2">
        <v>22937</v>
      </c>
      <c r="F31" s="2">
        <v>23822</v>
      </c>
      <c r="G31">
        <v>17</v>
      </c>
    </row>
    <row r="32" spans="1:13" x14ac:dyDescent="0.25">
      <c r="A32" s="3" t="s">
        <v>135</v>
      </c>
      <c r="B32" t="s">
        <v>3</v>
      </c>
      <c r="C32" t="s">
        <v>112</v>
      </c>
      <c r="D32" t="s">
        <v>294</v>
      </c>
      <c r="E32" s="2">
        <v>22977</v>
      </c>
      <c r="F32" s="2">
        <v>24539</v>
      </c>
      <c r="G32">
        <v>10</v>
      </c>
    </row>
    <row r="33" spans="1:13" hidden="1" x14ac:dyDescent="0.25">
      <c r="A33" t="s">
        <v>136</v>
      </c>
      <c r="B33" t="s">
        <v>3</v>
      </c>
      <c r="C33" t="s">
        <v>112</v>
      </c>
      <c r="D33" t="s">
        <v>294</v>
      </c>
      <c r="E33" s="2">
        <v>22993</v>
      </c>
      <c r="F33" s="2">
        <v>23455</v>
      </c>
      <c r="G33">
        <v>9</v>
      </c>
    </row>
    <row r="34" spans="1:13" hidden="1" x14ac:dyDescent="0.25">
      <c r="A34" t="s">
        <v>137</v>
      </c>
      <c r="B34" t="s">
        <v>3</v>
      </c>
      <c r="C34" t="s">
        <v>128</v>
      </c>
      <c r="D34" t="s">
        <v>294</v>
      </c>
      <c r="E34" s="2">
        <v>22996</v>
      </c>
      <c r="F34" s="2">
        <v>23463</v>
      </c>
      <c r="G34">
        <v>5</v>
      </c>
    </row>
    <row r="35" spans="1:13" hidden="1" x14ac:dyDescent="0.25">
      <c r="A35" t="s">
        <v>138</v>
      </c>
      <c r="B35" t="s">
        <v>3</v>
      </c>
      <c r="C35" t="s">
        <v>128</v>
      </c>
      <c r="D35" t="s">
        <v>294</v>
      </c>
      <c r="E35" s="2">
        <v>23061</v>
      </c>
      <c r="F35" s="2">
        <v>23061</v>
      </c>
      <c r="G35">
        <v>1</v>
      </c>
    </row>
    <row r="36" spans="1:13" x14ac:dyDescent="0.25">
      <c r="A36" s="3" t="s">
        <v>139</v>
      </c>
      <c r="B36" t="s">
        <v>3</v>
      </c>
      <c r="C36" t="s">
        <v>112</v>
      </c>
      <c r="D36" t="s">
        <v>294</v>
      </c>
      <c r="E36" s="2">
        <v>23070</v>
      </c>
      <c r="F36" s="2">
        <v>24854</v>
      </c>
      <c r="G36">
        <v>60</v>
      </c>
    </row>
    <row r="37" spans="1:13" hidden="1" x14ac:dyDescent="0.25">
      <c r="A37" t="s">
        <v>140</v>
      </c>
      <c r="B37" t="s">
        <v>3</v>
      </c>
      <c r="C37" t="s">
        <v>128</v>
      </c>
      <c r="D37" t="s">
        <v>294</v>
      </c>
      <c r="E37" s="2">
        <v>23190</v>
      </c>
      <c r="F37" s="2">
        <v>24082</v>
      </c>
      <c r="G37">
        <v>11</v>
      </c>
    </row>
    <row r="38" spans="1:13" hidden="1" x14ac:dyDescent="0.25">
      <c r="A38" t="s">
        <v>141</v>
      </c>
      <c r="B38" t="s">
        <v>3</v>
      </c>
      <c r="C38" t="s">
        <v>128</v>
      </c>
      <c r="D38" t="s">
        <v>294</v>
      </c>
      <c r="E38" s="2">
        <v>23281</v>
      </c>
      <c r="F38" s="2">
        <v>23281</v>
      </c>
      <c r="G38">
        <v>1</v>
      </c>
    </row>
    <row r="39" spans="1:13" x14ac:dyDescent="0.25">
      <c r="A39" s="3" t="s">
        <v>285</v>
      </c>
      <c r="B39" t="s">
        <v>3</v>
      </c>
      <c r="C39" t="s">
        <v>115</v>
      </c>
      <c r="D39" t="s">
        <v>294</v>
      </c>
      <c r="E39" s="2">
        <v>23301</v>
      </c>
      <c r="F39" s="2">
        <v>24781</v>
      </c>
      <c r="G39">
        <v>44</v>
      </c>
    </row>
    <row r="40" spans="1:13" hidden="1" x14ac:dyDescent="0.25">
      <c r="A40" t="s">
        <v>29</v>
      </c>
      <c r="B40" t="s">
        <v>3</v>
      </c>
      <c r="C40" t="s">
        <v>108</v>
      </c>
      <c r="D40" t="s">
        <v>294</v>
      </c>
      <c r="E40" s="2">
        <v>23405</v>
      </c>
      <c r="F40" s="2">
        <v>23953</v>
      </c>
      <c r="G40">
        <v>6</v>
      </c>
      <c r="K40" t="s">
        <v>28</v>
      </c>
      <c r="L40" t="s">
        <v>21</v>
      </c>
      <c r="M40" t="s">
        <v>25</v>
      </c>
    </row>
    <row r="41" spans="1:13" hidden="1" x14ac:dyDescent="0.25">
      <c r="A41" t="s">
        <v>142</v>
      </c>
      <c r="B41" t="s">
        <v>3</v>
      </c>
      <c r="C41" t="s">
        <v>115</v>
      </c>
      <c r="D41" t="s">
        <v>294</v>
      </c>
      <c r="E41" s="2">
        <v>23473</v>
      </c>
      <c r="F41" s="2">
        <v>26152</v>
      </c>
      <c r="G41">
        <v>4</v>
      </c>
    </row>
    <row r="42" spans="1:13" x14ac:dyDescent="0.25">
      <c r="A42" s="3" t="s">
        <v>143</v>
      </c>
      <c r="B42" t="s">
        <v>3</v>
      </c>
      <c r="C42" t="s">
        <v>118</v>
      </c>
      <c r="D42" t="s">
        <v>294</v>
      </c>
      <c r="E42" s="2">
        <v>23475</v>
      </c>
      <c r="F42" s="2">
        <v>24422</v>
      </c>
      <c r="G42">
        <v>13</v>
      </c>
    </row>
    <row r="43" spans="1:13" hidden="1" x14ac:dyDescent="0.25">
      <c r="A43" t="s">
        <v>144</v>
      </c>
      <c r="B43" t="s">
        <v>3</v>
      </c>
      <c r="C43" t="s">
        <v>112</v>
      </c>
      <c r="D43" t="s">
        <v>294</v>
      </c>
      <c r="E43" s="2">
        <v>23608</v>
      </c>
      <c r="F43" s="2">
        <v>23838</v>
      </c>
      <c r="G43">
        <v>2</v>
      </c>
    </row>
    <row r="44" spans="1:13" hidden="1" x14ac:dyDescent="0.25">
      <c r="A44" t="s">
        <v>145</v>
      </c>
      <c r="B44" t="s">
        <v>3</v>
      </c>
      <c r="C44" t="s">
        <v>118</v>
      </c>
      <c r="D44" t="s">
        <v>294</v>
      </c>
      <c r="E44" s="2">
        <v>23621</v>
      </c>
      <c r="F44" s="2">
        <v>23868</v>
      </c>
      <c r="G44">
        <v>4</v>
      </c>
    </row>
    <row r="45" spans="1:13" hidden="1" x14ac:dyDescent="0.25">
      <c r="A45" t="s">
        <v>146</v>
      </c>
      <c r="B45" t="s">
        <v>3</v>
      </c>
      <c r="C45" t="s">
        <v>115</v>
      </c>
      <c r="D45" t="s">
        <v>294</v>
      </c>
      <c r="E45" s="2">
        <v>23763</v>
      </c>
      <c r="F45" s="2">
        <v>24680</v>
      </c>
      <c r="G45">
        <v>7</v>
      </c>
    </row>
    <row r="46" spans="1:13" hidden="1" x14ac:dyDescent="0.25">
      <c r="A46" t="s">
        <v>147</v>
      </c>
      <c r="B46" t="s">
        <v>3</v>
      </c>
      <c r="C46" t="s">
        <v>112</v>
      </c>
      <c r="D46" t="s">
        <v>294</v>
      </c>
      <c r="E46" s="2">
        <v>23882</v>
      </c>
      <c r="F46" s="2">
        <v>24197</v>
      </c>
      <c r="G46">
        <v>4</v>
      </c>
    </row>
    <row r="47" spans="1:13" x14ac:dyDescent="0.25">
      <c r="A47" s="3" t="s">
        <v>148</v>
      </c>
      <c r="B47" t="s">
        <v>3</v>
      </c>
      <c r="C47" t="s">
        <v>118</v>
      </c>
      <c r="D47" t="s">
        <v>294</v>
      </c>
      <c r="E47" s="2">
        <v>23911</v>
      </c>
      <c r="F47" s="2">
        <v>25666</v>
      </c>
      <c r="G47">
        <v>14</v>
      </c>
    </row>
    <row r="48" spans="1:13" x14ac:dyDescent="0.25">
      <c r="A48" s="3" t="s">
        <v>149</v>
      </c>
      <c r="B48" t="s">
        <v>3</v>
      </c>
      <c r="C48" t="s">
        <v>128</v>
      </c>
      <c r="D48" t="s">
        <v>294</v>
      </c>
      <c r="E48" s="2">
        <v>23964</v>
      </c>
      <c r="F48" s="2">
        <v>26252</v>
      </c>
      <c r="G48">
        <v>20</v>
      </c>
    </row>
    <row r="49" spans="1:13" hidden="1" x14ac:dyDescent="0.25">
      <c r="A49" t="s">
        <v>150</v>
      </c>
      <c r="B49" t="s">
        <v>3</v>
      </c>
      <c r="C49" t="s">
        <v>112</v>
      </c>
      <c r="D49" t="s">
        <v>294</v>
      </c>
      <c r="E49" s="2">
        <v>24052</v>
      </c>
      <c r="F49" s="2">
        <v>24582</v>
      </c>
      <c r="G49">
        <v>6</v>
      </c>
    </row>
    <row r="50" spans="1:13" hidden="1" x14ac:dyDescent="0.25">
      <c r="A50" t="s">
        <v>151</v>
      </c>
      <c r="B50" t="s">
        <v>3</v>
      </c>
      <c r="C50" t="s">
        <v>128</v>
      </c>
      <c r="D50" t="s">
        <v>294</v>
      </c>
      <c r="E50" s="2">
        <v>24098</v>
      </c>
      <c r="F50" s="2">
        <v>25807</v>
      </c>
      <c r="G50">
        <v>11</v>
      </c>
    </row>
    <row r="51" spans="1:13" x14ac:dyDescent="0.25">
      <c r="A51" s="3" t="s">
        <v>2</v>
      </c>
      <c r="B51" t="s">
        <v>3</v>
      </c>
      <c r="C51" t="s">
        <v>108</v>
      </c>
      <c r="D51" t="s">
        <v>294</v>
      </c>
      <c r="E51" s="2">
        <v>24164</v>
      </c>
      <c r="F51" s="2">
        <v>27590</v>
      </c>
      <c r="G51" t="s">
        <v>281</v>
      </c>
      <c r="H51">
        <f>[1]!IN2M(2681.859)</f>
        <v>68.119218599999996</v>
      </c>
      <c r="I51">
        <f>[1]!LB2KG(159000)</f>
        <v>72121.127999999997</v>
      </c>
      <c r="J51">
        <f>[1]!LB2KG(1296000)</f>
        <v>587855.23199999996</v>
      </c>
      <c r="K51" t="s">
        <v>30</v>
      </c>
      <c r="L51" t="s">
        <v>21</v>
      </c>
      <c r="M51" t="s">
        <v>105</v>
      </c>
    </row>
    <row r="52" spans="1:13" hidden="1" x14ac:dyDescent="0.25">
      <c r="A52" t="s">
        <v>152</v>
      </c>
      <c r="B52" t="s">
        <v>3</v>
      </c>
      <c r="C52" t="s">
        <v>112</v>
      </c>
      <c r="D52" t="s">
        <v>294</v>
      </c>
      <c r="E52" s="2">
        <v>24252</v>
      </c>
      <c r="F52" s="2">
        <v>25225</v>
      </c>
      <c r="G52">
        <v>3</v>
      </c>
    </row>
    <row r="53" spans="1:13" x14ac:dyDescent="0.25">
      <c r="A53" s="3" t="s">
        <v>153</v>
      </c>
      <c r="B53" t="s">
        <v>3</v>
      </c>
      <c r="C53" t="s">
        <v>112</v>
      </c>
      <c r="D53" t="s">
        <v>294</v>
      </c>
      <c r="E53" s="2">
        <v>24289</v>
      </c>
      <c r="F53" s="2">
        <v>26024</v>
      </c>
      <c r="G53">
        <v>17</v>
      </c>
    </row>
    <row r="54" spans="1:13" x14ac:dyDescent="0.25">
      <c r="A54" s="3" t="s">
        <v>154</v>
      </c>
      <c r="B54" t="s">
        <v>3</v>
      </c>
      <c r="C54" t="s">
        <v>118</v>
      </c>
      <c r="D54" t="s">
        <v>294</v>
      </c>
      <c r="E54" s="2">
        <v>24317</v>
      </c>
      <c r="F54" s="2">
        <v>25864</v>
      </c>
      <c r="G54">
        <v>29</v>
      </c>
    </row>
    <row r="55" spans="1:13" x14ac:dyDescent="0.25">
      <c r="A55" s="3" t="s">
        <v>155</v>
      </c>
      <c r="B55" t="s">
        <v>3</v>
      </c>
      <c r="C55" t="s">
        <v>112</v>
      </c>
      <c r="D55" t="s">
        <v>294</v>
      </c>
      <c r="E55" s="2">
        <v>24328</v>
      </c>
      <c r="F55" s="2">
        <v>26444</v>
      </c>
      <c r="G55">
        <v>43</v>
      </c>
    </row>
    <row r="56" spans="1:13" x14ac:dyDescent="0.25">
      <c r="A56" s="3" t="s">
        <v>156</v>
      </c>
      <c r="B56" t="s">
        <v>3</v>
      </c>
      <c r="C56" t="s">
        <v>112</v>
      </c>
      <c r="D56" t="s">
        <v>294</v>
      </c>
      <c r="E56" s="2">
        <v>24366</v>
      </c>
      <c r="F56" s="2">
        <v>26092</v>
      </c>
      <c r="G56">
        <v>12</v>
      </c>
    </row>
    <row r="57" spans="1:13" hidden="1" x14ac:dyDescent="0.25">
      <c r="A57" t="s">
        <v>157</v>
      </c>
      <c r="B57" t="s">
        <v>3</v>
      </c>
      <c r="C57" t="s">
        <v>112</v>
      </c>
      <c r="D57" t="s">
        <v>294</v>
      </c>
      <c r="E57" s="2">
        <v>24455</v>
      </c>
      <c r="F57" s="2">
        <v>24722</v>
      </c>
      <c r="G57">
        <v>2</v>
      </c>
    </row>
    <row r="58" spans="1:13" x14ac:dyDescent="0.25">
      <c r="A58" s="3" t="s">
        <v>286</v>
      </c>
      <c r="B58" t="s">
        <v>3</v>
      </c>
      <c r="C58" t="s">
        <v>115</v>
      </c>
      <c r="D58" t="s">
        <v>294</v>
      </c>
      <c r="E58" s="2">
        <v>24723</v>
      </c>
      <c r="F58" s="2">
        <v>26532</v>
      </c>
      <c r="G58">
        <v>17</v>
      </c>
    </row>
    <row r="59" spans="1:13" x14ac:dyDescent="0.25">
      <c r="A59" s="3" t="s">
        <v>19</v>
      </c>
      <c r="B59" t="s">
        <v>3</v>
      </c>
      <c r="C59" t="s">
        <v>108</v>
      </c>
      <c r="D59" t="s">
        <v>294</v>
      </c>
      <c r="E59" s="2">
        <v>24785</v>
      </c>
      <c r="F59" s="2">
        <v>26640</v>
      </c>
      <c r="G59">
        <v>12</v>
      </c>
      <c r="H59" t="e">
        <f ca="1">[1]!FT2M(365)</f>
        <v>#NAME?</v>
      </c>
      <c r="I59">
        <f>[1]!LB2KG(553000)</f>
        <v>250836.37599999999</v>
      </c>
      <c r="J59">
        <f>[1]!LB2KG(6495000)</f>
        <v>2946080.04</v>
      </c>
      <c r="L59" t="s">
        <v>21</v>
      </c>
    </row>
    <row r="60" spans="1:13" x14ac:dyDescent="0.25">
      <c r="A60" s="3" t="s">
        <v>287</v>
      </c>
      <c r="B60" t="s">
        <v>3</v>
      </c>
      <c r="C60" t="s">
        <v>115</v>
      </c>
      <c r="D60" t="s">
        <v>294</v>
      </c>
      <c r="E60" s="2">
        <v>24901</v>
      </c>
      <c r="F60" s="2">
        <v>28587</v>
      </c>
      <c r="G60">
        <v>12</v>
      </c>
    </row>
    <row r="61" spans="1:13" hidden="1" x14ac:dyDescent="0.25">
      <c r="A61" t="s">
        <v>158</v>
      </c>
      <c r="B61" t="s">
        <v>3</v>
      </c>
      <c r="C61" t="s">
        <v>112</v>
      </c>
      <c r="D61" t="s">
        <v>294</v>
      </c>
      <c r="E61" s="2">
        <v>25023</v>
      </c>
      <c r="F61" s="2">
        <v>25023</v>
      </c>
      <c r="G61">
        <v>1</v>
      </c>
    </row>
    <row r="62" spans="1:13" x14ac:dyDescent="0.25">
      <c r="A62" s="3" t="s">
        <v>159</v>
      </c>
      <c r="B62" t="s">
        <v>3</v>
      </c>
      <c r="C62" t="s">
        <v>112</v>
      </c>
      <c r="D62" t="s">
        <v>294</v>
      </c>
      <c r="E62" s="2">
        <v>25099</v>
      </c>
      <c r="F62" s="2">
        <v>25967</v>
      </c>
      <c r="G62">
        <v>12</v>
      </c>
    </row>
    <row r="63" spans="1:13" hidden="1" x14ac:dyDescent="0.25">
      <c r="A63" t="s">
        <v>160</v>
      </c>
      <c r="B63" t="s">
        <v>3</v>
      </c>
      <c r="C63" t="s">
        <v>112</v>
      </c>
      <c r="D63" t="s">
        <v>294</v>
      </c>
      <c r="E63" s="2">
        <v>25383</v>
      </c>
      <c r="F63" s="2">
        <v>26370</v>
      </c>
      <c r="G63">
        <v>4</v>
      </c>
    </row>
    <row r="64" spans="1:13" hidden="1" x14ac:dyDescent="0.25">
      <c r="A64" t="s">
        <v>161</v>
      </c>
      <c r="B64" t="s">
        <v>3</v>
      </c>
      <c r="C64" t="s">
        <v>112</v>
      </c>
      <c r="D64" t="s">
        <v>294</v>
      </c>
      <c r="E64" s="2">
        <v>25442</v>
      </c>
      <c r="F64" s="2">
        <v>26329</v>
      </c>
      <c r="G64">
        <v>2</v>
      </c>
    </row>
    <row r="65" spans="1:12" hidden="1" x14ac:dyDescent="0.25">
      <c r="A65" t="s">
        <v>162</v>
      </c>
      <c r="B65" t="s">
        <v>3</v>
      </c>
      <c r="C65" t="s">
        <v>112</v>
      </c>
      <c r="D65" t="s">
        <v>294</v>
      </c>
      <c r="E65" s="2">
        <v>25591</v>
      </c>
      <c r="F65" s="2">
        <v>26227</v>
      </c>
      <c r="G65">
        <v>3</v>
      </c>
    </row>
    <row r="66" spans="1:12" x14ac:dyDescent="0.25">
      <c r="A66" s="3" t="s">
        <v>163</v>
      </c>
      <c r="B66" t="s">
        <v>3</v>
      </c>
      <c r="C66" t="s">
        <v>118</v>
      </c>
      <c r="D66" t="s">
        <v>294</v>
      </c>
      <c r="E66" s="2">
        <v>25878</v>
      </c>
      <c r="F66" s="2">
        <v>30016</v>
      </c>
      <c r="G66">
        <v>22</v>
      </c>
    </row>
    <row r="67" spans="1:12" hidden="1" x14ac:dyDescent="0.25">
      <c r="A67" t="s">
        <v>164</v>
      </c>
      <c r="B67" t="s">
        <v>3</v>
      </c>
      <c r="C67" t="s">
        <v>118</v>
      </c>
      <c r="D67" t="s">
        <v>294</v>
      </c>
      <c r="E67" s="2">
        <v>25954</v>
      </c>
      <c r="F67" s="2">
        <v>26045</v>
      </c>
      <c r="G67">
        <v>2</v>
      </c>
    </row>
    <row r="68" spans="1:12" hidden="1" x14ac:dyDescent="0.25">
      <c r="A68" t="s">
        <v>165</v>
      </c>
      <c r="B68" t="s">
        <v>3</v>
      </c>
      <c r="C68" t="s">
        <v>112</v>
      </c>
      <c r="D68" t="s">
        <v>294</v>
      </c>
      <c r="E68" s="2">
        <v>26005</v>
      </c>
      <c r="F68" s="2">
        <v>26005</v>
      </c>
      <c r="G68">
        <v>1</v>
      </c>
    </row>
    <row r="69" spans="1:12" hidden="1" x14ac:dyDescent="0.25">
      <c r="A69" t="s">
        <v>166</v>
      </c>
      <c r="B69" t="s">
        <v>3</v>
      </c>
      <c r="C69" t="s">
        <v>118</v>
      </c>
      <c r="D69" t="s">
        <v>294</v>
      </c>
      <c r="E69" s="2">
        <v>26013</v>
      </c>
      <c r="F69" s="2">
        <v>26897</v>
      </c>
      <c r="G69">
        <v>3</v>
      </c>
    </row>
    <row r="70" spans="1:12" x14ac:dyDescent="0.25">
      <c r="A70" s="3" t="s">
        <v>167</v>
      </c>
      <c r="B70" t="s">
        <v>3</v>
      </c>
      <c r="C70" t="s">
        <v>118</v>
      </c>
      <c r="D70" t="s">
        <v>294</v>
      </c>
      <c r="E70" s="2">
        <v>26099</v>
      </c>
      <c r="F70" s="2">
        <v>30272</v>
      </c>
      <c r="G70">
        <v>22</v>
      </c>
    </row>
    <row r="71" spans="1:12" x14ac:dyDescent="0.25">
      <c r="A71" s="3" t="s">
        <v>168</v>
      </c>
      <c r="B71" t="s">
        <v>3</v>
      </c>
      <c r="C71" t="s">
        <v>118</v>
      </c>
      <c r="D71" t="s">
        <v>294</v>
      </c>
      <c r="E71" s="2">
        <v>26157</v>
      </c>
      <c r="F71" s="2">
        <v>30789</v>
      </c>
      <c r="G71">
        <v>22</v>
      </c>
    </row>
    <row r="72" spans="1:12" hidden="1" x14ac:dyDescent="0.25">
      <c r="A72" t="s">
        <v>169</v>
      </c>
      <c r="B72" t="s">
        <v>3</v>
      </c>
      <c r="C72" t="s">
        <v>128</v>
      </c>
      <c r="D72" t="s">
        <v>294</v>
      </c>
      <c r="E72" s="2">
        <v>26161</v>
      </c>
      <c r="F72" s="2">
        <v>27902</v>
      </c>
      <c r="G72">
        <v>5</v>
      </c>
    </row>
    <row r="73" spans="1:12" hidden="1" x14ac:dyDescent="0.25">
      <c r="A73" t="s">
        <v>170</v>
      </c>
      <c r="B73" t="s">
        <v>3</v>
      </c>
      <c r="C73" t="s">
        <v>112</v>
      </c>
      <c r="D73" t="s">
        <v>294</v>
      </c>
      <c r="E73" s="2">
        <v>26220</v>
      </c>
      <c r="F73" s="2">
        <v>27809</v>
      </c>
      <c r="G73">
        <v>8</v>
      </c>
    </row>
    <row r="74" spans="1:12" hidden="1" x14ac:dyDescent="0.25">
      <c r="A74" t="s">
        <v>171</v>
      </c>
      <c r="B74" t="s">
        <v>3</v>
      </c>
      <c r="C74" t="s">
        <v>112</v>
      </c>
      <c r="D74" t="s">
        <v>294</v>
      </c>
      <c r="E74" s="2">
        <v>26503</v>
      </c>
      <c r="F74" s="2">
        <v>26644</v>
      </c>
      <c r="G74">
        <v>2</v>
      </c>
    </row>
    <row r="75" spans="1:12" x14ac:dyDescent="0.25">
      <c r="A75" s="3" t="s">
        <v>172</v>
      </c>
      <c r="B75" t="s">
        <v>3</v>
      </c>
      <c r="C75" t="s">
        <v>128</v>
      </c>
      <c r="D75" t="s">
        <v>294</v>
      </c>
      <c r="E75" s="2">
        <v>26524</v>
      </c>
      <c r="F75" s="2">
        <v>29008</v>
      </c>
      <c r="G75">
        <v>14</v>
      </c>
    </row>
    <row r="76" spans="1:12" hidden="1" x14ac:dyDescent="0.25">
      <c r="A76" t="s">
        <v>173</v>
      </c>
      <c r="B76" t="s">
        <v>3</v>
      </c>
      <c r="C76" t="s">
        <v>112</v>
      </c>
      <c r="D76" t="s">
        <v>294</v>
      </c>
      <c r="E76" s="2">
        <v>26565</v>
      </c>
      <c r="F76" s="2">
        <v>26963</v>
      </c>
      <c r="G76">
        <v>2</v>
      </c>
    </row>
    <row r="77" spans="1:12" hidden="1" x14ac:dyDescent="0.25">
      <c r="A77" t="s">
        <v>174</v>
      </c>
      <c r="B77" t="s">
        <v>3</v>
      </c>
      <c r="C77" t="s">
        <v>115</v>
      </c>
      <c r="D77" t="s">
        <v>294</v>
      </c>
      <c r="E77" s="2">
        <v>26574</v>
      </c>
      <c r="F77" s="2">
        <v>26574</v>
      </c>
      <c r="G77">
        <v>1</v>
      </c>
    </row>
    <row r="78" spans="1:12" hidden="1" x14ac:dyDescent="0.25">
      <c r="A78" t="s">
        <v>175</v>
      </c>
      <c r="B78" t="s">
        <v>3</v>
      </c>
      <c r="C78" t="s">
        <v>112</v>
      </c>
      <c r="D78" t="s">
        <v>294</v>
      </c>
      <c r="E78" s="2">
        <v>26613</v>
      </c>
      <c r="F78" s="2">
        <v>26774</v>
      </c>
      <c r="G78">
        <v>2</v>
      </c>
    </row>
    <row r="79" spans="1:12" hidden="1" x14ac:dyDescent="0.25">
      <c r="A79" t="s">
        <v>176</v>
      </c>
      <c r="B79" t="s">
        <v>3</v>
      </c>
      <c r="C79" t="s">
        <v>115</v>
      </c>
      <c r="D79" t="s">
        <v>294</v>
      </c>
      <c r="E79" s="2">
        <v>26760</v>
      </c>
      <c r="F79" s="2">
        <v>27536</v>
      </c>
      <c r="G79">
        <v>6</v>
      </c>
    </row>
    <row r="80" spans="1:12" x14ac:dyDescent="0.25">
      <c r="A80" s="3" t="s">
        <v>18</v>
      </c>
      <c r="B80" t="s">
        <v>3</v>
      </c>
      <c r="C80" t="s">
        <v>108</v>
      </c>
      <c r="D80" t="s">
        <v>294</v>
      </c>
      <c r="E80" s="2">
        <v>26798</v>
      </c>
      <c r="F80" s="2">
        <v>26798</v>
      </c>
      <c r="G80">
        <v>1</v>
      </c>
      <c r="H80" t="e">
        <f ca="1">[1]!FT2M(346)</f>
        <v>#NAME?</v>
      </c>
      <c r="I80">
        <f>[1]!LB2KG(585000)</f>
        <v>265351.32</v>
      </c>
      <c r="J80">
        <f>[1]!LB2KG(6221000)</f>
        <v>2821795.8319999999</v>
      </c>
      <c r="L80" t="s">
        <v>21</v>
      </c>
    </row>
    <row r="81" spans="1:7" hidden="1" x14ac:dyDescent="0.25">
      <c r="A81" t="s">
        <v>177</v>
      </c>
      <c r="B81" t="s">
        <v>3</v>
      </c>
      <c r="C81" t="s">
        <v>112</v>
      </c>
      <c r="D81" t="s">
        <v>294</v>
      </c>
      <c r="E81" s="2">
        <v>26825</v>
      </c>
      <c r="F81" s="2">
        <v>26825</v>
      </c>
      <c r="G81">
        <v>1</v>
      </c>
    </row>
    <row r="82" spans="1:7" hidden="1" x14ac:dyDescent="0.25">
      <c r="A82" t="s">
        <v>178</v>
      </c>
      <c r="B82" t="s">
        <v>3</v>
      </c>
      <c r="C82" t="s">
        <v>128</v>
      </c>
      <c r="D82" t="s">
        <v>294</v>
      </c>
      <c r="E82" s="2">
        <v>26967</v>
      </c>
      <c r="F82" s="2">
        <v>26967</v>
      </c>
      <c r="G82">
        <v>1</v>
      </c>
    </row>
    <row r="83" spans="1:7" hidden="1" x14ac:dyDescent="0.25">
      <c r="A83" t="s">
        <v>179</v>
      </c>
      <c r="B83" t="s">
        <v>3</v>
      </c>
      <c r="C83" t="s">
        <v>112</v>
      </c>
      <c r="D83" t="s">
        <v>294</v>
      </c>
      <c r="E83" s="2">
        <v>27014</v>
      </c>
      <c r="F83" s="2">
        <v>27014</v>
      </c>
      <c r="G83">
        <v>1</v>
      </c>
    </row>
    <row r="84" spans="1:7" hidden="1" x14ac:dyDescent="0.25">
      <c r="A84" t="s">
        <v>180</v>
      </c>
      <c r="B84" t="s">
        <v>3</v>
      </c>
      <c r="C84" t="s">
        <v>112</v>
      </c>
      <c r="D84" t="s">
        <v>294</v>
      </c>
      <c r="E84" s="2">
        <v>27048</v>
      </c>
      <c r="F84" s="2">
        <v>27048</v>
      </c>
      <c r="G84">
        <v>1</v>
      </c>
    </row>
    <row r="85" spans="1:7" hidden="1" x14ac:dyDescent="0.25">
      <c r="A85" t="s">
        <v>181</v>
      </c>
      <c r="B85" t="s">
        <v>3</v>
      </c>
      <c r="C85" t="s">
        <v>118</v>
      </c>
      <c r="D85" t="s">
        <v>294</v>
      </c>
      <c r="E85" s="2">
        <v>27072</v>
      </c>
      <c r="F85" s="2">
        <v>28373</v>
      </c>
      <c r="G85">
        <v>7</v>
      </c>
    </row>
    <row r="86" spans="1:7" x14ac:dyDescent="0.25">
      <c r="A86" s="3" t="s">
        <v>182</v>
      </c>
      <c r="B86" t="s">
        <v>3</v>
      </c>
      <c r="C86" t="s">
        <v>112</v>
      </c>
      <c r="D86" t="s">
        <v>294</v>
      </c>
      <c r="E86" s="2">
        <v>27132</v>
      </c>
      <c r="F86" s="2">
        <v>29077</v>
      </c>
      <c r="G86">
        <v>28</v>
      </c>
    </row>
    <row r="87" spans="1:7" hidden="1" x14ac:dyDescent="0.25">
      <c r="A87" t="s">
        <v>183</v>
      </c>
      <c r="B87" t="s">
        <v>3</v>
      </c>
      <c r="C87" t="s">
        <v>128</v>
      </c>
      <c r="D87" t="s">
        <v>294</v>
      </c>
      <c r="E87" s="2">
        <v>27183</v>
      </c>
      <c r="F87" s="2">
        <v>27183</v>
      </c>
      <c r="G87">
        <v>1</v>
      </c>
    </row>
    <row r="88" spans="1:7" hidden="1" x14ac:dyDescent="0.25">
      <c r="A88" t="s">
        <v>184</v>
      </c>
      <c r="B88" t="s">
        <v>3</v>
      </c>
      <c r="C88" t="s">
        <v>115</v>
      </c>
      <c r="D88" t="s">
        <v>294</v>
      </c>
      <c r="E88" s="2">
        <v>27224</v>
      </c>
      <c r="F88" s="2">
        <v>27224</v>
      </c>
      <c r="G88">
        <v>1</v>
      </c>
    </row>
    <row r="89" spans="1:7" hidden="1" x14ac:dyDescent="0.25">
      <c r="A89" t="s">
        <v>185</v>
      </c>
      <c r="B89" t="s">
        <v>3</v>
      </c>
      <c r="C89" t="s">
        <v>112</v>
      </c>
      <c r="D89" t="s">
        <v>294</v>
      </c>
      <c r="E89" s="2">
        <v>27348</v>
      </c>
      <c r="F89" s="2">
        <v>29865</v>
      </c>
      <c r="G89">
        <v>4</v>
      </c>
    </row>
    <row r="90" spans="1:7" hidden="1" x14ac:dyDescent="0.25">
      <c r="A90" t="s">
        <v>186</v>
      </c>
      <c r="B90" t="s">
        <v>3</v>
      </c>
      <c r="C90" t="s">
        <v>112</v>
      </c>
      <c r="D90" t="s">
        <v>294</v>
      </c>
      <c r="E90" s="2">
        <v>27356</v>
      </c>
      <c r="F90" s="2">
        <v>28362</v>
      </c>
      <c r="G90">
        <v>4</v>
      </c>
    </row>
    <row r="91" spans="1:7" hidden="1" x14ac:dyDescent="0.25">
      <c r="A91" t="s">
        <v>187</v>
      </c>
      <c r="B91" t="s">
        <v>3</v>
      </c>
      <c r="C91" t="s">
        <v>112</v>
      </c>
      <c r="D91" t="s">
        <v>294</v>
      </c>
      <c r="E91" s="2">
        <v>27416</v>
      </c>
      <c r="F91" s="2">
        <v>28787</v>
      </c>
      <c r="G91">
        <v>7</v>
      </c>
    </row>
    <row r="92" spans="1:7" hidden="1" x14ac:dyDescent="0.25">
      <c r="A92" t="s">
        <v>188</v>
      </c>
      <c r="B92" t="s">
        <v>3</v>
      </c>
      <c r="C92" t="s">
        <v>118</v>
      </c>
      <c r="D92" t="s">
        <v>294</v>
      </c>
      <c r="E92" s="2">
        <v>27463</v>
      </c>
      <c r="F92" s="2">
        <v>31820</v>
      </c>
      <c r="G92">
        <v>11</v>
      </c>
    </row>
    <row r="93" spans="1:7" hidden="1" x14ac:dyDescent="0.25">
      <c r="A93" t="s">
        <v>189</v>
      </c>
      <c r="B93" t="s">
        <v>3</v>
      </c>
      <c r="C93" t="s">
        <v>128</v>
      </c>
      <c r="D93" t="s">
        <v>294</v>
      </c>
      <c r="E93" s="2">
        <v>27521</v>
      </c>
      <c r="F93" s="2">
        <v>27733</v>
      </c>
      <c r="G93">
        <v>2</v>
      </c>
    </row>
    <row r="94" spans="1:7" hidden="1" x14ac:dyDescent="0.25">
      <c r="A94" t="s">
        <v>190</v>
      </c>
      <c r="B94" t="s">
        <v>3</v>
      </c>
      <c r="C94" t="s">
        <v>112</v>
      </c>
      <c r="D94" t="s">
        <v>294</v>
      </c>
      <c r="E94" s="2">
        <v>27615</v>
      </c>
      <c r="F94" s="2">
        <v>27884</v>
      </c>
      <c r="G94">
        <v>2</v>
      </c>
    </row>
    <row r="95" spans="1:7" x14ac:dyDescent="0.25">
      <c r="A95" s="3" t="s">
        <v>288</v>
      </c>
      <c r="B95" t="s">
        <v>3</v>
      </c>
      <c r="C95" t="s">
        <v>115</v>
      </c>
      <c r="D95" t="s">
        <v>294</v>
      </c>
      <c r="E95" s="2">
        <v>27663</v>
      </c>
      <c r="F95" s="2">
        <v>30455</v>
      </c>
      <c r="G95">
        <v>26</v>
      </c>
    </row>
    <row r="96" spans="1:7" x14ac:dyDescent="0.25">
      <c r="A96" s="3" t="s">
        <v>191</v>
      </c>
      <c r="B96" t="s">
        <v>3</v>
      </c>
      <c r="C96" t="s">
        <v>112</v>
      </c>
      <c r="D96" t="s">
        <v>294</v>
      </c>
      <c r="E96" s="2">
        <v>27740</v>
      </c>
      <c r="F96" s="2">
        <v>31893</v>
      </c>
      <c r="G96">
        <v>13</v>
      </c>
    </row>
    <row r="97" spans="1:7" hidden="1" x14ac:dyDescent="0.25">
      <c r="A97" t="s">
        <v>192</v>
      </c>
      <c r="B97" t="s">
        <v>3</v>
      </c>
      <c r="C97" t="s">
        <v>112</v>
      </c>
      <c r="D97" t="s">
        <v>294</v>
      </c>
      <c r="E97" s="2">
        <v>28014</v>
      </c>
      <c r="F97" s="2">
        <v>29416</v>
      </c>
      <c r="G97">
        <v>5</v>
      </c>
    </row>
    <row r="98" spans="1:7" hidden="1" x14ac:dyDescent="0.25">
      <c r="A98" t="s">
        <v>193</v>
      </c>
      <c r="B98" t="s">
        <v>3</v>
      </c>
      <c r="C98" t="s">
        <v>115</v>
      </c>
      <c r="D98" t="s">
        <v>294</v>
      </c>
      <c r="E98" s="2">
        <v>28299</v>
      </c>
      <c r="F98" s="2">
        <v>29573</v>
      </c>
      <c r="G98">
        <v>8</v>
      </c>
    </row>
    <row r="99" spans="1:7" hidden="1" x14ac:dyDescent="0.25">
      <c r="A99" t="s">
        <v>194</v>
      </c>
      <c r="B99" t="s">
        <v>3</v>
      </c>
      <c r="C99" t="s">
        <v>115</v>
      </c>
      <c r="D99" t="s">
        <v>294</v>
      </c>
      <c r="E99" s="2">
        <v>28668</v>
      </c>
      <c r="F99" s="2">
        <v>28668</v>
      </c>
      <c r="G99">
        <v>1</v>
      </c>
    </row>
    <row r="100" spans="1:7" x14ac:dyDescent="0.25">
      <c r="A100" s="3" t="s">
        <v>289</v>
      </c>
      <c r="B100" t="s">
        <v>3</v>
      </c>
      <c r="C100" t="s">
        <v>115</v>
      </c>
      <c r="D100" t="s">
        <v>294</v>
      </c>
      <c r="E100" s="2">
        <v>28776</v>
      </c>
      <c r="F100" s="2">
        <v>34782</v>
      </c>
      <c r="G100">
        <v>20</v>
      </c>
    </row>
    <row r="101" spans="1:7" hidden="1" x14ac:dyDescent="0.25">
      <c r="A101" t="s">
        <v>195</v>
      </c>
      <c r="B101" t="s">
        <v>3</v>
      </c>
      <c r="C101" t="s">
        <v>115</v>
      </c>
      <c r="D101" t="s">
        <v>294</v>
      </c>
      <c r="E101" s="2">
        <v>28910</v>
      </c>
      <c r="F101" s="2">
        <v>31116</v>
      </c>
      <c r="G101">
        <v>2</v>
      </c>
    </row>
    <row r="102" spans="1:7" x14ac:dyDescent="0.25">
      <c r="A102" s="3" t="s">
        <v>196</v>
      </c>
      <c r="B102" t="s">
        <v>3</v>
      </c>
      <c r="C102" t="s">
        <v>128</v>
      </c>
      <c r="D102" t="s">
        <v>294</v>
      </c>
      <c r="E102" s="2">
        <v>29158</v>
      </c>
      <c r="F102" s="2">
        <v>34463</v>
      </c>
      <c r="G102">
        <v>18</v>
      </c>
    </row>
    <row r="103" spans="1:7" hidden="1" x14ac:dyDescent="0.25">
      <c r="A103" t="s">
        <v>197</v>
      </c>
      <c r="B103" t="s">
        <v>3</v>
      </c>
      <c r="C103" t="s">
        <v>112</v>
      </c>
      <c r="D103" t="s">
        <v>294</v>
      </c>
      <c r="E103" s="2">
        <v>29265</v>
      </c>
      <c r="F103" s="2">
        <v>32181</v>
      </c>
      <c r="G103">
        <v>3</v>
      </c>
    </row>
    <row r="104" spans="1:7" hidden="1" x14ac:dyDescent="0.25">
      <c r="A104" t="s">
        <v>198</v>
      </c>
      <c r="B104" t="s">
        <v>3</v>
      </c>
      <c r="C104" t="s">
        <v>112</v>
      </c>
      <c r="D104" t="s">
        <v>294</v>
      </c>
      <c r="E104" s="2">
        <v>29540</v>
      </c>
      <c r="F104" s="2">
        <v>30111</v>
      </c>
      <c r="G104">
        <v>7</v>
      </c>
    </row>
    <row r="105" spans="1:7" hidden="1" x14ac:dyDescent="0.25">
      <c r="A105" t="s">
        <v>199</v>
      </c>
      <c r="B105" t="s">
        <v>3</v>
      </c>
      <c r="C105" t="s">
        <v>200</v>
      </c>
      <c r="D105" t="s">
        <v>294</v>
      </c>
      <c r="E105" s="2">
        <v>29688</v>
      </c>
      <c r="F105" s="2">
        <v>30266</v>
      </c>
      <c r="G105">
        <v>5</v>
      </c>
    </row>
    <row r="106" spans="1:7" x14ac:dyDescent="0.25">
      <c r="A106" s="3" t="s">
        <v>290</v>
      </c>
      <c r="B106" t="s">
        <v>3</v>
      </c>
      <c r="C106" t="s">
        <v>277</v>
      </c>
      <c r="D106" t="s">
        <v>294</v>
      </c>
      <c r="E106" s="2">
        <v>29688</v>
      </c>
      <c r="F106" s="2">
        <v>40732</v>
      </c>
    </row>
    <row r="107" spans="1:7" hidden="1" x14ac:dyDescent="0.25">
      <c r="A107" t="s">
        <v>201</v>
      </c>
      <c r="B107" t="s">
        <v>3</v>
      </c>
      <c r="C107" t="s">
        <v>112</v>
      </c>
      <c r="D107" t="s">
        <v>294</v>
      </c>
      <c r="E107" s="2">
        <v>29801</v>
      </c>
      <c r="F107" s="2">
        <v>29801</v>
      </c>
      <c r="G107">
        <v>1</v>
      </c>
    </row>
    <row r="108" spans="1:7" hidden="1" x14ac:dyDescent="0.25">
      <c r="A108" t="s">
        <v>202</v>
      </c>
      <c r="B108" t="s">
        <v>3</v>
      </c>
      <c r="C108" t="s">
        <v>112</v>
      </c>
      <c r="D108" t="s">
        <v>294</v>
      </c>
      <c r="E108" s="2">
        <v>30148</v>
      </c>
      <c r="F108" s="2">
        <v>32591</v>
      </c>
      <c r="G108">
        <v>4</v>
      </c>
    </row>
    <row r="109" spans="1:7" hidden="1" x14ac:dyDescent="0.25">
      <c r="A109" t="s">
        <v>203</v>
      </c>
      <c r="B109" t="s">
        <v>3</v>
      </c>
      <c r="C109" t="s">
        <v>112</v>
      </c>
      <c r="D109" t="s">
        <v>294</v>
      </c>
      <c r="E109" s="2">
        <v>30191</v>
      </c>
      <c r="F109" s="2">
        <v>31856</v>
      </c>
      <c r="G109">
        <v>6</v>
      </c>
    </row>
    <row r="110" spans="1:7" hidden="1" x14ac:dyDescent="0.25">
      <c r="A110" t="s">
        <v>204</v>
      </c>
      <c r="B110" t="s">
        <v>3</v>
      </c>
      <c r="C110" t="s">
        <v>112</v>
      </c>
      <c r="D110" t="s">
        <v>294</v>
      </c>
      <c r="E110" s="2">
        <v>30252</v>
      </c>
      <c r="F110" s="2">
        <v>30910</v>
      </c>
      <c r="G110">
        <v>4</v>
      </c>
    </row>
    <row r="111" spans="1:7" hidden="1" x14ac:dyDescent="0.25">
      <c r="A111" t="s">
        <v>205</v>
      </c>
      <c r="B111" t="s">
        <v>3</v>
      </c>
      <c r="C111" t="s">
        <v>118</v>
      </c>
      <c r="D111" t="s">
        <v>294</v>
      </c>
      <c r="E111" s="2">
        <v>30254</v>
      </c>
      <c r="F111" s="2">
        <v>32755</v>
      </c>
      <c r="G111">
        <v>2</v>
      </c>
    </row>
    <row r="112" spans="1:7" hidden="1" x14ac:dyDescent="0.25">
      <c r="A112" t="s">
        <v>206</v>
      </c>
      <c r="B112" t="s">
        <v>3</v>
      </c>
      <c r="C112" t="s">
        <v>115</v>
      </c>
      <c r="D112" t="s">
        <v>294</v>
      </c>
      <c r="E112" s="2">
        <v>30356</v>
      </c>
      <c r="F112" s="2">
        <v>31912</v>
      </c>
      <c r="G112">
        <v>5</v>
      </c>
    </row>
    <row r="113" spans="1:7" hidden="1" x14ac:dyDescent="0.25">
      <c r="A113" t="s">
        <v>207</v>
      </c>
      <c r="B113" t="s">
        <v>3</v>
      </c>
      <c r="C113" t="s">
        <v>200</v>
      </c>
      <c r="D113" t="s">
        <v>294</v>
      </c>
      <c r="E113" s="2">
        <v>30410</v>
      </c>
      <c r="F113" s="2">
        <v>31440</v>
      </c>
      <c r="G113">
        <v>20</v>
      </c>
    </row>
    <row r="114" spans="1:7" hidden="1" x14ac:dyDescent="0.25">
      <c r="A114" t="s">
        <v>205</v>
      </c>
      <c r="B114" t="s">
        <v>3</v>
      </c>
      <c r="C114" t="s">
        <v>118</v>
      </c>
      <c r="D114" t="s">
        <v>294</v>
      </c>
      <c r="E114" s="2">
        <v>30487</v>
      </c>
      <c r="F114" s="2">
        <v>32453</v>
      </c>
      <c r="G114">
        <v>7</v>
      </c>
    </row>
    <row r="115" spans="1:7" hidden="1" x14ac:dyDescent="0.25">
      <c r="A115" t="s">
        <v>208</v>
      </c>
      <c r="B115" t="s">
        <v>3</v>
      </c>
      <c r="C115" t="s">
        <v>115</v>
      </c>
      <c r="D115" t="s">
        <v>294</v>
      </c>
      <c r="E115" s="2">
        <v>30511</v>
      </c>
      <c r="F115" s="2">
        <v>31329</v>
      </c>
      <c r="G115">
        <v>4</v>
      </c>
    </row>
    <row r="116" spans="1:7" hidden="1" x14ac:dyDescent="0.25">
      <c r="A116" t="s">
        <v>205</v>
      </c>
      <c r="B116" t="s">
        <v>3</v>
      </c>
      <c r="C116" t="s">
        <v>118</v>
      </c>
      <c r="D116" t="s">
        <v>294</v>
      </c>
      <c r="E116" s="2">
        <v>30712</v>
      </c>
      <c r="F116" s="2">
        <v>32638</v>
      </c>
      <c r="G116">
        <v>6</v>
      </c>
    </row>
    <row r="117" spans="1:7" hidden="1" x14ac:dyDescent="0.25">
      <c r="A117" t="s">
        <v>209</v>
      </c>
      <c r="B117" t="s">
        <v>3</v>
      </c>
      <c r="C117" t="s">
        <v>210</v>
      </c>
      <c r="D117" t="s">
        <v>294</v>
      </c>
      <c r="E117" s="2">
        <v>30842</v>
      </c>
      <c r="F117" s="2">
        <v>32776</v>
      </c>
      <c r="G117">
        <v>7</v>
      </c>
    </row>
    <row r="118" spans="1:7" hidden="1" x14ac:dyDescent="0.25">
      <c r="A118" t="s">
        <v>211</v>
      </c>
      <c r="B118" t="s">
        <v>3</v>
      </c>
      <c r="C118" t="s">
        <v>200</v>
      </c>
      <c r="D118" t="s">
        <v>294</v>
      </c>
      <c r="E118" s="2">
        <v>32415</v>
      </c>
      <c r="F118" s="2">
        <v>36364</v>
      </c>
      <c r="G118">
        <v>57</v>
      </c>
    </row>
    <row r="119" spans="1:7" x14ac:dyDescent="0.25">
      <c r="A119" s="3" t="s">
        <v>212</v>
      </c>
      <c r="B119" t="s">
        <v>3</v>
      </c>
      <c r="C119" t="s">
        <v>112</v>
      </c>
      <c r="D119" t="s">
        <v>294</v>
      </c>
      <c r="E119" s="2">
        <v>32553</v>
      </c>
      <c r="F119" s="2">
        <v>33809</v>
      </c>
      <c r="G119">
        <v>14</v>
      </c>
    </row>
    <row r="120" spans="1:7" hidden="1" x14ac:dyDescent="0.25">
      <c r="A120" t="s">
        <v>213</v>
      </c>
      <c r="B120" t="s">
        <v>3</v>
      </c>
      <c r="C120" t="s">
        <v>118</v>
      </c>
      <c r="D120" t="s">
        <v>294</v>
      </c>
      <c r="E120" s="2">
        <v>32673</v>
      </c>
      <c r="F120" s="2">
        <v>34690</v>
      </c>
      <c r="G120">
        <v>3</v>
      </c>
    </row>
    <row r="121" spans="1:7" hidden="1" x14ac:dyDescent="0.25">
      <c r="A121" t="s">
        <v>214</v>
      </c>
      <c r="B121" t="s">
        <v>3</v>
      </c>
      <c r="C121" t="s">
        <v>112</v>
      </c>
      <c r="D121" t="s">
        <v>294</v>
      </c>
      <c r="E121" s="2">
        <v>32748</v>
      </c>
      <c r="F121" s="2">
        <v>33036</v>
      </c>
      <c r="G121">
        <v>2</v>
      </c>
    </row>
    <row r="122" spans="1:7" hidden="1" x14ac:dyDescent="0.25">
      <c r="A122" t="s">
        <v>215</v>
      </c>
      <c r="B122" t="s">
        <v>3</v>
      </c>
      <c r="C122" t="s">
        <v>112</v>
      </c>
      <c r="D122" t="s">
        <v>294</v>
      </c>
      <c r="E122" s="2">
        <v>32830</v>
      </c>
      <c r="F122" s="2">
        <v>32830</v>
      </c>
      <c r="G122">
        <v>1</v>
      </c>
    </row>
    <row r="123" spans="1:7" hidden="1" x14ac:dyDescent="0.25">
      <c r="A123" t="s">
        <v>130</v>
      </c>
      <c r="B123" t="s">
        <v>3</v>
      </c>
      <c r="C123" t="s">
        <v>118</v>
      </c>
      <c r="D123" t="s">
        <v>294</v>
      </c>
      <c r="E123" s="2">
        <v>32874</v>
      </c>
      <c r="F123" s="2">
        <v>32874</v>
      </c>
      <c r="G123">
        <v>1</v>
      </c>
    </row>
    <row r="124" spans="1:7" hidden="1" x14ac:dyDescent="0.25">
      <c r="A124" t="s">
        <v>216</v>
      </c>
      <c r="B124" t="s">
        <v>3</v>
      </c>
      <c r="C124" t="s">
        <v>112</v>
      </c>
      <c r="D124" t="s">
        <v>294</v>
      </c>
      <c r="E124" s="2">
        <v>32918</v>
      </c>
      <c r="F124" s="2">
        <v>33762</v>
      </c>
      <c r="G124">
        <v>3</v>
      </c>
    </row>
    <row r="125" spans="1:7" hidden="1" x14ac:dyDescent="0.25">
      <c r="A125" t="s">
        <v>217</v>
      </c>
      <c r="B125" t="s">
        <v>3</v>
      </c>
      <c r="C125" t="s">
        <v>115</v>
      </c>
      <c r="D125" t="s">
        <v>294</v>
      </c>
      <c r="E125" s="2">
        <v>32974</v>
      </c>
      <c r="F125" s="2">
        <v>32974</v>
      </c>
      <c r="G125">
        <v>1</v>
      </c>
    </row>
    <row r="126" spans="1:7" hidden="1" x14ac:dyDescent="0.25">
      <c r="A126" t="s">
        <v>218</v>
      </c>
      <c r="B126" t="s">
        <v>3</v>
      </c>
      <c r="C126" t="s">
        <v>118</v>
      </c>
      <c r="D126" t="s">
        <v>294</v>
      </c>
      <c r="E126" s="2">
        <v>33032</v>
      </c>
      <c r="F126" s="2">
        <v>35726</v>
      </c>
      <c r="G126">
        <v>10</v>
      </c>
    </row>
    <row r="127" spans="1:7" x14ac:dyDescent="0.25">
      <c r="A127" s="3" t="s">
        <v>219</v>
      </c>
      <c r="B127" t="s">
        <v>3</v>
      </c>
      <c r="C127" t="s">
        <v>115</v>
      </c>
      <c r="D127" t="s">
        <v>294</v>
      </c>
      <c r="E127" s="2">
        <v>33081</v>
      </c>
      <c r="F127" s="2">
        <v>35544</v>
      </c>
      <c r="G127">
        <v>11</v>
      </c>
    </row>
    <row r="128" spans="1:7" x14ac:dyDescent="0.25">
      <c r="A128" s="3" t="s">
        <v>220</v>
      </c>
      <c r="B128" t="s">
        <v>3</v>
      </c>
      <c r="C128" t="s">
        <v>112</v>
      </c>
      <c r="D128" t="s">
        <v>294</v>
      </c>
      <c r="E128" s="2">
        <v>33203</v>
      </c>
      <c r="F128" s="2">
        <v>40042</v>
      </c>
      <c r="G128">
        <v>69</v>
      </c>
    </row>
    <row r="129" spans="1:7" x14ac:dyDescent="0.25">
      <c r="A129" s="3" t="s">
        <v>221</v>
      </c>
      <c r="B129" t="s">
        <v>3</v>
      </c>
      <c r="C129" t="s">
        <v>115</v>
      </c>
      <c r="D129" t="s">
        <v>294</v>
      </c>
      <c r="E129" s="2">
        <v>33579</v>
      </c>
      <c r="F129" s="2">
        <v>35870</v>
      </c>
      <c r="G129">
        <v>10</v>
      </c>
    </row>
    <row r="130" spans="1:7" hidden="1" x14ac:dyDescent="0.25">
      <c r="A130" t="s">
        <v>222</v>
      </c>
      <c r="B130" t="s">
        <v>3</v>
      </c>
      <c r="C130" t="s">
        <v>115</v>
      </c>
      <c r="D130" t="s">
        <v>294</v>
      </c>
      <c r="E130" s="2">
        <v>33765</v>
      </c>
      <c r="F130" s="2">
        <v>35390</v>
      </c>
      <c r="G130">
        <v>6</v>
      </c>
    </row>
    <row r="131" spans="1:7" hidden="1" x14ac:dyDescent="0.25">
      <c r="A131" t="s">
        <v>130</v>
      </c>
      <c r="B131" t="s">
        <v>3</v>
      </c>
      <c r="C131" t="s">
        <v>118</v>
      </c>
      <c r="D131" t="s">
        <v>294</v>
      </c>
      <c r="E131" s="2">
        <v>33872</v>
      </c>
      <c r="F131" s="2">
        <v>33872</v>
      </c>
      <c r="G131">
        <v>1</v>
      </c>
    </row>
    <row r="132" spans="1:7" x14ac:dyDescent="0.25">
      <c r="A132" s="3" t="s">
        <v>223</v>
      </c>
      <c r="B132" t="s">
        <v>3</v>
      </c>
      <c r="C132" t="s">
        <v>115</v>
      </c>
      <c r="D132" t="s">
        <v>294</v>
      </c>
      <c r="E132" s="2">
        <v>34709</v>
      </c>
      <c r="F132" s="2">
        <v>38230</v>
      </c>
      <c r="G132">
        <v>24</v>
      </c>
    </row>
    <row r="133" spans="1:7" hidden="1" x14ac:dyDescent="0.25">
      <c r="A133" t="s">
        <v>222</v>
      </c>
      <c r="B133" t="s">
        <v>3</v>
      </c>
      <c r="C133" t="s">
        <v>115</v>
      </c>
      <c r="D133" t="s">
        <v>294</v>
      </c>
      <c r="E133" s="2">
        <v>34911</v>
      </c>
      <c r="F133" s="2">
        <v>36819</v>
      </c>
      <c r="G133">
        <v>8</v>
      </c>
    </row>
    <row r="134" spans="1:7" hidden="1" x14ac:dyDescent="0.25">
      <c r="A134" t="s">
        <v>224</v>
      </c>
      <c r="B134" t="s">
        <v>3</v>
      </c>
      <c r="C134" t="s">
        <v>200</v>
      </c>
      <c r="D134" t="s">
        <v>294</v>
      </c>
      <c r="E134" s="2">
        <v>34992</v>
      </c>
      <c r="F134" s="2">
        <v>35236</v>
      </c>
      <c r="G134">
        <v>4</v>
      </c>
    </row>
    <row r="135" spans="1:7" x14ac:dyDescent="0.25">
      <c r="A135" s="3" t="s">
        <v>225</v>
      </c>
      <c r="B135" t="s">
        <v>3</v>
      </c>
      <c r="C135" t="s">
        <v>112</v>
      </c>
      <c r="D135" t="s">
        <v>294</v>
      </c>
      <c r="E135" s="2">
        <v>35007</v>
      </c>
      <c r="F135" s="2">
        <v>40844</v>
      </c>
      <c r="G135">
        <v>28</v>
      </c>
    </row>
    <row r="136" spans="1:7" hidden="1" x14ac:dyDescent="0.25">
      <c r="A136" t="s">
        <v>226</v>
      </c>
      <c r="B136" t="s">
        <v>3</v>
      </c>
      <c r="C136" t="s">
        <v>200</v>
      </c>
      <c r="D136" t="s">
        <v>294</v>
      </c>
      <c r="E136" s="2">
        <v>35442</v>
      </c>
      <c r="F136" s="2">
        <v>35948</v>
      </c>
      <c r="G136">
        <v>5</v>
      </c>
    </row>
    <row r="137" spans="1:7" hidden="1" x14ac:dyDescent="0.25">
      <c r="A137" t="s">
        <v>227</v>
      </c>
      <c r="B137" t="s">
        <v>3</v>
      </c>
      <c r="C137" t="s">
        <v>118</v>
      </c>
      <c r="D137" t="s">
        <v>294</v>
      </c>
      <c r="E137" s="2">
        <v>35484</v>
      </c>
      <c r="F137" s="2">
        <v>38031</v>
      </c>
      <c r="G137">
        <v>5</v>
      </c>
    </row>
    <row r="138" spans="1:7" hidden="1" x14ac:dyDescent="0.25">
      <c r="A138" t="s">
        <v>228</v>
      </c>
      <c r="B138" t="s">
        <v>3</v>
      </c>
      <c r="C138" t="s">
        <v>229</v>
      </c>
      <c r="D138" t="s">
        <v>294</v>
      </c>
      <c r="E138" s="2">
        <v>35665</v>
      </c>
      <c r="F138" s="2">
        <v>37164</v>
      </c>
      <c r="G138">
        <v>3</v>
      </c>
    </row>
    <row r="139" spans="1:7" hidden="1" x14ac:dyDescent="0.25">
      <c r="A139" t="s">
        <v>223</v>
      </c>
      <c r="B139" t="s">
        <v>3</v>
      </c>
      <c r="C139" t="s">
        <v>115</v>
      </c>
      <c r="D139" t="s">
        <v>294</v>
      </c>
      <c r="E139" s="2">
        <v>35677</v>
      </c>
      <c r="F139" s="2">
        <v>36512</v>
      </c>
      <c r="G139">
        <v>2</v>
      </c>
    </row>
    <row r="140" spans="1:7" hidden="1" x14ac:dyDescent="0.25">
      <c r="A140" t="s">
        <v>230</v>
      </c>
      <c r="B140" t="s">
        <v>3</v>
      </c>
      <c r="C140" t="s">
        <v>118</v>
      </c>
      <c r="D140" t="s">
        <v>294</v>
      </c>
      <c r="E140" s="2">
        <v>35718</v>
      </c>
      <c r="F140" s="2">
        <v>37872</v>
      </c>
      <c r="G140">
        <v>7</v>
      </c>
    </row>
    <row r="141" spans="1:7" hidden="1" x14ac:dyDescent="0.25">
      <c r="A141" t="s">
        <v>231</v>
      </c>
      <c r="B141" t="s">
        <v>3</v>
      </c>
      <c r="C141" t="s">
        <v>229</v>
      </c>
      <c r="D141" t="s">
        <v>294</v>
      </c>
      <c r="E141" s="2">
        <v>35802</v>
      </c>
      <c r="F141" s="2">
        <v>36427</v>
      </c>
      <c r="G141">
        <v>3</v>
      </c>
    </row>
    <row r="142" spans="1:7" hidden="1" x14ac:dyDescent="0.25">
      <c r="A142" t="s">
        <v>232</v>
      </c>
      <c r="B142" t="s">
        <v>3</v>
      </c>
      <c r="C142" t="s">
        <v>200</v>
      </c>
      <c r="D142" t="s">
        <v>294</v>
      </c>
      <c r="E142" s="2">
        <v>35818</v>
      </c>
      <c r="F142" s="2">
        <v>37316</v>
      </c>
      <c r="G142">
        <v>17</v>
      </c>
    </row>
    <row r="143" spans="1:7" x14ac:dyDescent="0.25">
      <c r="A143" s="3" t="s">
        <v>233</v>
      </c>
      <c r="B143" t="s">
        <v>3</v>
      </c>
      <c r="C143" t="s">
        <v>112</v>
      </c>
      <c r="D143" t="s">
        <v>294</v>
      </c>
      <c r="E143" s="2">
        <v>35840</v>
      </c>
      <c r="F143" s="2">
        <v>40488</v>
      </c>
      <c r="G143">
        <v>13</v>
      </c>
    </row>
    <row r="144" spans="1:7" hidden="1" x14ac:dyDescent="0.25">
      <c r="A144" t="s">
        <v>234</v>
      </c>
      <c r="B144" t="s">
        <v>3</v>
      </c>
      <c r="C144" t="s">
        <v>112</v>
      </c>
      <c r="D144" t="s">
        <v>294</v>
      </c>
      <c r="E144" s="2">
        <v>36092</v>
      </c>
      <c r="F144" s="2">
        <v>37111</v>
      </c>
      <c r="G144">
        <v>3</v>
      </c>
    </row>
    <row r="145" spans="1:7" hidden="1" x14ac:dyDescent="0.25">
      <c r="A145" t="s">
        <v>235</v>
      </c>
      <c r="B145" t="s">
        <v>3</v>
      </c>
      <c r="C145" t="s">
        <v>112</v>
      </c>
      <c r="D145" t="s">
        <v>294</v>
      </c>
      <c r="E145" s="2">
        <v>36140</v>
      </c>
      <c r="F145" s="2">
        <v>37440</v>
      </c>
      <c r="G145">
        <v>4</v>
      </c>
    </row>
    <row r="146" spans="1:7" hidden="1" x14ac:dyDescent="0.25">
      <c r="A146" t="s">
        <v>236</v>
      </c>
      <c r="B146" t="s">
        <v>3</v>
      </c>
      <c r="C146" t="s">
        <v>112</v>
      </c>
      <c r="D146" t="s">
        <v>294</v>
      </c>
      <c r="E146" s="2">
        <v>36198</v>
      </c>
      <c r="F146" s="2">
        <v>36198</v>
      </c>
      <c r="G146">
        <v>1</v>
      </c>
    </row>
    <row r="147" spans="1:7" hidden="1" x14ac:dyDescent="0.25">
      <c r="A147" t="s">
        <v>237</v>
      </c>
      <c r="B147" t="s">
        <v>3</v>
      </c>
      <c r="C147" t="s">
        <v>118</v>
      </c>
      <c r="D147" t="s">
        <v>294</v>
      </c>
      <c r="E147" s="2">
        <v>36302</v>
      </c>
      <c r="F147" s="2">
        <v>38644</v>
      </c>
      <c r="G147">
        <v>5</v>
      </c>
    </row>
    <row r="148" spans="1:7" hidden="1" x14ac:dyDescent="0.25">
      <c r="A148" t="s">
        <v>238</v>
      </c>
      <c r="B148" t="s">
        <v>3</v>
      </c>
      <c r="C148" t="s">
        <v>112</v>
      </c>
      <c r="D148" t="s">
        <v>294</v>
      </c>
      <c r="E148" s="2">
        <v>36335</v>
      </c>
      <c r="F148" s="2">
        <v>42035</v>
      </c>
      <c r="G148">
        <v>12</v>
      </c>
    </row>
    <row r="149" spans="1:7" hidden="1" x14ac:dyDescent="0.25">
      <c r="A149" t="s">
        <v>239</v>
      </c>
      <c r="B149" t="s">
        <v>3</v>
      </c>
      <c r="C149" t="s">
        <v>240</v>
      </c>
      <c r="D149" t="s">
        <v>294</v>
      </c>
      <c r="E149" s="2">
        <v>36552</v>
      </c>
      <c r="F149" s="2">
        <v>41598</v>
      </c>
      <c r="G149">
        <v>11</v>
      </c>
    </row>
    <row r="150" spans="1:7" hidden="1" x14ac:dyDescent="0.25">
      <c r="A150" t="s">
        <v>241</v>
      </c>
      <c r="B150" t="s">
        <v>3</v>
      </c>
      <c r="C150" t="s">
        <v>115</v>
      </c>
      <c r="D150" t="s">
        <v>294</v>
      </c>
      <c r="E150" s="2">
        <v>36670</v>
      </c>
      <c r="F150" s="2">
        <v>38059</v>
      </c>
      <c r="G150">
        <v>2</v>
      </c>
    </row>
    <row r="151" spans="1:7" hidden="1" x14ac:dyDescent="0.25">
      <c r="A151" t="s">
        <v>242</v>
      </c>
      <c r="B151" t="s">
        <v>3</v>
      </c>
      <c r="C151" t="s">
        <v>115</v>
      </c>
      <c r="D151" t="s">
        <v>294</v>
      </c>
      <c r="E151" s="2">
        <v>37308</v>
      </c>
      <c r="F151" s="2">
        <v>37308</v>
      </c>
      <c r="G151">
        <v>1</v>
      </c>
    </row>
    <row r="152" spans="1:7" hidden="1" x14ac:dyDescent="0.25">
      <c r="A152" t="s">
        <v>242</v>
      </c>
      <c r="B152" t="s">
        <v>3</v>
      </c>
      <c r="C152" t="s">
        <v>115</v>
      </c>
      <c r="D152" t="s">
        <v>294</v>
      </c>
      <c r="E152" s="2">
        <v>37308</v>
      </c>
      <c r="F152" s="2">
        <v>38386</v>
      </c>
      <c r="G152">
        <v>3</v>
      </c>
    </row>
    <row r="153" spans="1:7" hidden="1" x14ac:dyDescent="0.25">
      <c r="A153" t="s">
        <v>243</v>
      </c>
      <c r="B153" t="s">
        <v>3</v>
      </c>
      <c r="C153" t="s">
        <v>200</v>
      </c>
      <c r="D153" t="s">
        <v>294</v>
      </c>
      <c r="E153" s="2">
        <v>37354</v>
      </c>
      <c r="F153" s="2">
        <v>405974</v>
      </c>
      <c r="G153">
        <v>27</v>
      </c>
    </row>
    <row r="154" spans="1:7" x14ac:dyDescent="0.25">
      <c r="A154" s="3" t="s">
        <v>291</v>
      </c>
      <c r="B154" t="s">
        <v>3</v>
      </c>
      <c r="C154" t="s">
        <v>210</v>
      </c>
      <c r="D154" t="s">
        <v>294</v>
      </c>
      <c r="E154" s="2">
        <v>37489</v>
      </c>
    </row>
    <row r="155" spans="1:7" x14ac:dyDescent="0.25">
      <c r="A155" s="3" t="s">
        <v>244</v>
      </c>
      <c r="B155" t="s">
        <v>3</v>
      </c>
      <c r="C155" t="s">
        <v>210</v>
      </c>
      <c r="D155" t="s">
        <v>294</v>
      </c>
      <c r="E155" s="2">
        <v>37489</v>
      </c>
      <c r="F155" s="2">
        <v>42795</v>
      </c>
      <c r="G155">
        <v>35</v>
      </c>
    </row>
    <row r="156" spans="1:7" x14ac:dyDescent="0.25">
      <c r="A156" s="3" t="s">
        <v>292</v>
      </c>
      <c r="B156" t="s">
        <v>3</v>
      </c>
      <c r="C156" t="s">
        <v>246</v>
      </c>
      <c r="D156" t="s">
        <v>294</v>
      </c>
      <c r="E156" s="2">
        <v>110628</v>
      </c>
    </row>
    <row r="157" spans="1:7" x14ac:dyDescent="0.25">
      <c r="A157" s="3" t="s">
        <v>245</v>
      </c>
      <c r="B157" t="s">
        <v>3</v>
      </c>
      <c r="C157" t="s">
        <v>246</v>
      </c>
      <c r="D157" t="s">
        <v>294</v>
      </c>
      <c r="E157" s="2">
        <v>37580</v>
      </c>
      <c r="F157" s="2">
        <v>42601</v>
      </c>
      <c r="G157">
        <v>14</v>
      </c>
    </row>
    <row r="158" spans="1:7" hidden="1" x14ac:dyDescent="0.25">
      <c r="A158" t="s">
        <v>247</v>
      </c>
      <c r="B158" t="s">
        <v>3</v>
      </c>
      <c r="C158" t="s">
        <v>246</v>
      </c>
      <c r="D158" t="s">
        <v>294</v>
      </c>
      <c r="E158" s="2">
        <v>37691</v>
      </c>
      <c r="F158" s="2">
        <v>39025</v>
      </c>
      <c r="G158">
        <v>3</v>
      </c>
    </row>
    <row r="159" spans="1:7" hidden="1" x14ac:dyDescent="0.25">
      <c r="A159" t="s">
        <v>248</v>
      </c>
      <c r="B159" t="s">
        <v>3</v>
      </c>
      <c r="C159" t="s">
        <v>112</v>
      </c>
      <c r="D159" t="s">
        <v>294</v>
      </c>
      <c r="E159" s="2">
        <v>37810</v>
      </c>
      <c r="F159" s="2">
        <v>39352</v>
      </c>
      <c r="G159">
        <v>3</v>
      </c>
    </row>
    <row r="160" spans="1:7" hidden="1" x14ac:dyDescent="0.25">
      <c r="A160" t="s">
        <v>249</v>
      </c>
      <c r="B160" t="s">
        <v>3</v>
      </c>
      <c r="C160" t="s">
        <v>210</v>
      </c>
      <c r="D160" t="s">
        <v>294</v>
      </c>
      <c r="E160" s="2">
        <v>37819</v>
      </c>
      <c r="F160" s="2">
        <v>38338</v>
      </c>
      <c r="G160">
        <v>2</v>
      </c>
    </row>
    <row r="161" spans="1:7" hidden="1" x14ac:dyDescent="0.25">
      <c r="A161" t="s">
        <v>250</v>
      </c>
      <c r="B161" t="s">
        <v>3</v>
      </c>
      <c r="C161" t="s">
        <v>246</v>
      </c>
      <c r="D161" t="s">
        <v>294</v>
      </c>
      <c r="E161" s="2">
        <v>38343</v>
      </c>
      <c r="F161" s="2">
        <v>42532</v>
      </c>
      <c r="G161">
        <v>9</v>
      </c>
    </row>
    <row r="162" spans="1:7" hidden="1" x14ac:dyDescent="0.25">
      <c r="A162" t="s">
        <v>251</v>
      </c>
      <c r="B162" t="s">
        <v>3</v>
      </c>
      <c r="C162" t="s">
        <v>210</v>
      </c>
      <c r="D162" t="s">
        <v>294</v>
      </c>
      <c r="E162" s="2">
        <v>38422</v>
      </c>
      <c r="F162" s="2">
        <v>42722</v>
      </c>
      <c r="G162">
        <v>3</v>
      </c>
    </row>
    <row r="163" spans="1:7" hidden="1" x14ac:dyDescent="0.25">
      <c r="A163" t="s">
        <v>252</v>
      </c>
      <c r="B163" t="s">
        <v>3</v>
      </c>
      <c r="C163" t="s">
        <v>210</v>
      </c>
      <c r="D163" t="s">
        <v>294</v>
      </c>
      <c r="E163" s="2">
        <v>38736</v>
      </c>
      <c r="F163" s="2">
        <v>42545</v>
      </c>
      <c r="G163">
        <v>7</v>
      </c>
    </row>
    <row r="164" spans="1:7" hidden="1" x14ac:dyDescent="0.25">
      <c r="A164" t="s">
        <v>253</v>
      </c>
      <c r="B164" t="s">
        <v>3</v>
      </c>
      <c r="C164" t="s">
        <v>210</v>
      </c>
      <c r="D164" t="s">
        <v>294</v>
      </c>
      <c r="E164" s="2">
        <v>38827</v>
      </c>
      <c r="F164" s="2">
        <v>42621</v>
      </c>
      <c r="G164">
        <v>4</v>
      </c>
    </row>
    <row r="165" spans="1:7" hidden="1" x14ac:dyDescent="0.25">
      <c r="A165" t="s">
        <v>254</v>
      </c>
      <c r="B165" t="s">
        <v>3</v>
      </c>
      <c r="C165" t="s">
        <v>210</v>
      </c>
      <c r="D165" t="s">
        <v>294</v>
      </c>
      <c r="E165" s="2">
        <v>39366</v>
      </c>
      <c r="F165" s="2">
        <v>42579</v>
      </c>
      <c r="G165">
        <v>6</v>
      </c>
    </row>
    <row r="166" spans="1:7" hidden="1" x14ac:dyDescent="0.25">
      <c r="A166" t="s">
        <v>255</v>
      </c>
      <c r="B166" t="s">
        <v>3</v>
      </c>
      <c r="C166" t="s">
        <v>246</v>
      </c>
      <c r="D166" t="s">
        <v>294</v>
      </c>
      <c r="E166" s="2">
        <v>40153</v>
      </c>
      <c r="F166" s="2">
        <v>42711</v>
      </c>
      <c r="G166">
        <v>6</v>
      </c>
    </row>
    <row r="167" spans="1:7" hidden="1" x14ac:dyDescent="0.25">
      <c r="A167" t="s">
        <v>256</v>
      </c>
      <c r="B167" t="s">
        <v>3</v>
      </c>
      <c r="C167" t="s">
        <v>210</v>
      </c>
      <c r="D167" t="s">
        <v>294</v>
      </c>
      <c r="E167" s="2">
        <v>40291</v>
      </c>
      <c r="F167" s="2">
        <v>42144</v>
      </c>
      <c r="G167">
        <v>6</v>
      </c>
    </row>
    <row r="168" spans="1:7" hidden="1" x14ac:dyDescent="0.25">
      <c r="A168" t="s">
        <v>257</v>
      </c>
      <c r="B168" t="s">
        <v>3</v>
      </c>
      <c r="C168" t="s">
        <v>258</v>
      </c>
      <c r="D168" t="s">
        <v>294</v>
      </c>
      <c r="E168" s="2">
        <v>40333</v>
      </c>
      <c r="F168" s="2">
        <v>41334</v>
      </c>
      <c r="G168">
        <v>5</v>
      </c>
    </row>
    <row r="169" spans="1:7" hidden="1" x14ac:dyDescent="0.25">
      <c r="A169" t="s">
        <v>276</v>
      </c>
      <c r="B169" t="s">
        <v>3</v>
      </c>
      <c r="C169" t="s">
        <v>258</v>
      </c>
      <c r="D169" t="s">
        <v>294</v>
      </c>
      <c r="E169" s="2">
        <v>40333</v>
      </c>
    </row>
    <row r="170" spans="1:7" hidden="1" x14ac:dyDescent="0.25">
      <c r="A170" t="s">
        <v>259</v>
      </c>
      <c r="B170" t="s">
        <v>3</v>
      </c>
      <c r="C170" t="s">
        <v>210</v>
      </c>
      <c r="D170" t="s">
        <v>294</v>
      </c>
      <c r="E170" s="2">
        <v>40404</v>
      </c>
      <c r="F170" s="2">
        <v>41535</v>
      </c>
      <c r="G170">
        <v>3</v>
      </c>
    </row>
    <row r="171" spans="1:7" hidden="1" x14ac:dyDescent="0.25">
      <c r="A171" t="s">
        <v>260</v>
      </c>
      <c r="B171" t="s">
        <v>3</v>
      </c>
      <c r="C171" t="s">
        <v>240</v>
      </c>
      <c r="D171" t="s">
        <v>294</v>
      </c>
      <c r="E171" s="2">
        <v>40447</v>
      </c>
      <c r="F171" s="2">
        <v>40502</v>
      </c>
      <c r="G171">
        <v>2</v>
      </c>
    </row>
    <row r="172" spans="1:7" hidden="1" x14ac:dyDescent="0.25">
      <c r="A172" t="s">
        <v>261</v>
      </c>
      <c r="B172" t="s">
        <v>3</v>
      </c>
      <c r="C172" t="s">
        <v>240</v>
      </c>
      <c r="D172" t="s">
        <v>294</v>
      </c>
      <c r="E172" s="2">
        <v>40813</v>
      </c>
      <c r="F172" s="2">
        <v>40813</v>
      </c>
      <c r="G172">
        <v>1</v>
      </c>
    </row>
    <row r="173" spans="1:7" hidden="1" x14ac:dyDescent="0.25">
      <c r="A173" t="s">
        <v>262</v>
      </c>
      <c r="B173" t="s">
        <v>3</v>
      </c>
      <c r="C173" t="s">
        <v>210</v>
      </c>
      <c r="D173" t="s">
        <v>294</v>
      </c>
      <c r="E173" s="2">
        <v>40873</v>
      </c>
      <c r="F173" s="2">
        <v>42693</v>
      </c>
      <c r="G173">
        <v>4</v>
      </c>
    </row>
    <row r="174" spans="1:7" hidden="1" x14ac:dyDescent="0.25">
      <c r="A174" t="s">
        <v>263</v>
      </c>
      <c r="B174" t="s">
        <v>3</v>
      </c>
      <c r="C174" t="s">
        <v>246</v>
      </c>
      <c r="D174" t="s">
        <v>294</v>
      </c>
      <c r="E174" s="2">
        <v>41002</v>
      </c>
      <c r="F174" s="2">
        <v>42410</v>
      </c>
      <c r="G174">
        <v>2</v>
      </c>
    </row>
    <row r="175" spans="1:7" hidden="1" x14ac:dyDescent="0.25">
      <c r="A175" t="s">
        <v>264</v>
      </c>
      <c r="B175" t="s">
        <v>3</v>
      </c>
      <c r="C175" t="s">
        <v>265</v>
      </c>
      <c r="D175" t="s">
        <v>294</v>
      </c>
      <c r="E175" s="2">
        <v>41385</v>
      </c>
      <c r="F175" s="2">
        <v>41535</v>
      </c>
      <c r="G175">
        <v>2</v>
      </c>
    </row>
    <row r="176" spans="1:7" hidden="1" x14ac:dyDescent="0.25">
      <c r="A176" t="s">
        <v>266</v>
      </c>
      <c r="B176" t="s">
        <v>3</v>
      </c>
      <c r="C176" t="s">
        <v>240</v>
      </c>
      <c r="D176" t="s">
        <v>294</v>
      </c>
      <c r="E176" s="2">
        <v>41524</v>
      </c>
      <c r="F176" s="2">
        <v>41524</v>
      </c>
      <c r="G176">
        <v>1</v>
      </c>
    </row>
    <row r="177" spans="1:7" x14ac:dyDescent="0.25">
      <c r="A177" s="3" t="s">
        <v>267</v>
      </c>
      <c r="B177" t="s">
        <v>3</v>
      </c>
      <c r="C177" t="s">
        <v>258</v>
      </c>
      <c r="D177" t="s">
        <v>294</v>
      </c>
      <c r="E177" s="2">
        <v>41546</v>
      </c>
      <c r="F177" s="2">
        <v>42386</v>
      </c>
      <c r="G177">
        <v>15</v>
      </c>
    </row>
    <row r="178" spans="1:7" hidden="1" x14ac:dyDescent="0.25">
      <c r="A178" t="s">
        <v>268</v>
      </c>
      <c r="B178" t="s">
        <v>3</v>
      </c>
      <c r="C178" t="s">
        <v>265</v>
      </c>
      <c r="D178" t="s">
        <v>294</v>
      </c>
      <c r="E178" s="2">
        <v>41648</v>
      </c>
      <c r="F178" s="2">
        <v>41833</v>
      </c>
      <c r="G178">
        <v>2</v>
      </c>
    </row>
    <row r="179" spans="1:7" hidden="1" x14ac:dyDescent="0.25">
      <c r="A179" t="s">
        <v>269</v>
      </c>
      <c r="B179" t="s">
        <v>3</v>
      </c>
      <c r="C179" t="s">
        <v>265</v>
      </c>
      <c r="D179" t="s">
        <v>294</v>
      </c>
      <c r="E179" s="2">
        <v>41940</v>
      </c>
      <c r="F179" s="2">
        <v>41940</v>
      </c>
      <c r="G179">
        <v>1</v>
      </c>
    </row>
    <row r="180" spans="1:7" x14ac:dyDescent="0.25">
      <c r="A180" s="3" t="s">
        <v>270</v>
      </c>
      <c r="B180" t="s">
        <v>3</v>
      </c>
      <c r="C180" t="s">
        <v>258</v>
      </c>
      <c r="D180" t="s">
        <v>294</v>
      </c>
      <c r="E180" s="2">
        <v>42360</v>
      </c>
      <c r="F180" s="2">
        <v>42810</v>
      </c>
      <c r="G180">
        <v>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3"/>
  <sheetViews>
    <sheetView workbookViewId="0">
      <selection activeCell="H3" sqref="H3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44</v>
      </c>
      <c r="D1" t="s">
        <v>8</v>
      </c>
      <c r="E1" t="s">
        <v>9</v>
      </c>
      <c r="F1" t="s">
        <v>13</v>
      </c>
      <c r="G1" t="s">
        <v>16</v>
      </c>
      <c r="H1" t="s">
        <v>17</v>
      </c>
      <c r="O1" t="s">
        <v>11</v>
      </c>
    </row>
    <row r="2" spans="1:15" x14ac:dyDescent="0.25">
      <c r="A2" t="s">
        <v>6</v>
      </c>
      <c r="B2" t="s">
        <v>7</v>
      </c>
      <c r="C2" t="e">
        <f ca="1">[1]!FT2M(59.1)</f>
        <v>#NAME?</v>
      </c>
      <c r="D2">
        <v>6.61416</v>
      </c>
      <c r="E2">
        <v>6.61416</v>
      </c>
      <c r="F2" t="s">
        <v>15</v>
      </c>
      <c r="G2">
        <f>[1]!LB2KG(22150)</f>
        <v>10047.0628</v>
      </c>
      <c r="H2">
        <f>[1]!LB2KG(256800)</f>
        <v>116482.4256</v>
      </c>
    </row>
    <row r="3" spans="1:15" x14ac:dyDescent="0.25">
      <c r="A3" t="s">
        <v>10</v>
      </c>
      <c r="B3" t="s">
        <v>2</v>
      </c>
      <c r="C3" t="e">
        <f ca="1">[1]!FT2M(80.2)</f>
        <v>#NAME?</v>
      </c>
      <c r="D3" t="e">
        <f ca="1">[1]!FT2M(22.8)</f>
        <v>#NAME?</v>
      </c>
      <c r="E3" t="e">
        <f ca="1">[1]!FT2M(40.7)</f>
        <v>#NAME?</v>
      </c>
      <c r="F3" t="s">
        <v>14</v>
      </c>
      <c r="G3">
        <f>[1]!LB2KG(84521)</f>
        <v>38338.049432</v>
      </c>
      <c r="H3">
        <f>[1]!LB2KG(997127)</f>
        <v>452288.83018400002</v>
      </c>
      <c r="O3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14"/>
  <sheetViews>
    <sheetView tabSelected="1" workbookViewId="0">
      <selection activeCell="M13" sqref="M13"/>
    </sheetView>
  </sheetViews>
  <sheetFormatPr defaultRowHeight="15" x14ac:dyDescent="0.25"/>
  <cols>
    <col min="1" max="1" width="9.7109375" bestFit="1" customWidth="1"/>
    <col min="5" max="5" width="11.42578125" customWidth="1"/>
    <col min="6" max="6" width="12.42578125" customWidth="1"/>
    <col min="7" max="7" width="13.7109375" customWidth="1"/>
    <col min="8" max="8" width="12.140625" customWidth="1"/>
    <col min="9" max="9" width="9.5703125" customWidth="1"/>
    <col min="10" max="10" width="10.85546875" customWidth="1"/>
    <col min="11" max="11" width="11.85546875" customWidth="1"/>
    <col min="12" max="12" width="10.28515625" customWidth="1"/>
    <col min="14" max="14" width="10.5703125" customWidth="1"/>
    <col min="15" max="15" width="15.28515625" customWidth="1"/>
    <col min="16" max="16" width="17.140625" customWidth="1"/>
    <col min="18" max="18" width="9.42578125" customWidth="1"/>
    <col min="19" max="19" width="15.42578125" customWidth="1"/>
    <col min="20" max="20" width="14" customWidth="1"/>
    <col min="21" max="21" width="16.42578125" customWidth="1"/>
    <col min="22" max="22" width="12.42578125" customWidth="1"/>
  </cols>
  <sheetData>
    <row r="1" spans="1:24" ht="45" x14ac:dyDescent="0.25">
      <c r="A1" t="s">
        <v>31</v>
      </c>
      <c r="B1" t="s">
        <v>5</v>
      </c>
      <c r="C1" t="s">
        <v>0</v>
      </c>
      <c r="D1" t="s">
        <v>44</v>
      </c>
      <c r="E1" t="s">
        <v>8</v>
      </c>
      <c r="F1" t="s">
        <v>32</v>
      </c>
      <c r="G1" t="s">
        <v>37</v>
      </c>
      <c r="H1" t="s">
        <v>33</v>
      </c>
      <c r="I1" t="s">
        <v>34</v>
      </c>
      <c r="J1" t="s">
        <v>36</v>
      </c>
      <c r="K1" t="s">
        <v>71</v>
      </c>
      <c r="L1" t="s">
        <v>35</v>
      </c>
      <c r="M1" t="s">
        <v>39</v>
      </c>
      <c r="N1" t="s">
        <v>40</v>
      </c>
      <c r="O1" t="s">
        <v>38</v>
      </c>
      <c r="P1" t="s">
        <v>69</v>
      </c>
      <c r="Q1" t="s">
        <v>45</v>
      </c>
      <c r="R1" s="1" t="s">
        <v>50</v>
      </c>
      <c r="S1" t="s">
        <v>46</v>
      </c>
      <c r="T1" t="s">
        <v>47</v>
      </c>
      <c r="U1" t="s">
        <v>66</v>
      </c>
      <c r="V1" t="s">
        <v>100</v>
      </c>
      <c r="W1" t="s">
        <v>11</v>
      </c>
      <c r="X1" t="s">
        <v>101</v>
      </c>
    </row>
    <row r="2" spans="1:24" x14ac:dyDescent="0.25">
      <c r="A2" t="s">
        <v>58</v>
      </c>
      <c r="B2" t="s">
        <v>57</v>
      </c>
      <c r="C2" t="s">
        <v>23</v>
      </c>
      <c r="D2">
        <f>[2]!IN2M(101.61)</f>
        <v>2.5808939999999998</v>
      </c>
      <c r="E2">
        <f>[2]!IN2M(45.49)</f>
        <v>1.155446</v>
      </c>
      <c r="F2">
        <f>[1]!LBF2KN(165000)</f>
        <v>733.95630000000006</v>
      </c>
      <c r="G2">
        <f>Table1[[#This Row],[Thrust (SL)]]*1.1</f>
        <v>807.35193000000015</v>
      </c>
      <c r="H2">
        <v>155</v>
      </c>
      <c r="I2">
        <v>262.57</v>
      </c>
      <c r="J2">
        <v>292</v>
      </c>
      <c r="L2" t="s">
        <v>102</v>
      </c>
      <c r="M2" t="s">
        <v>51</v>
      </c>
      <c r="N2" t="s">
        <v>52</v>
      </c>
      <c r="O2" t="s">
        <v>49</v>
      </c>
      <c r="P2">
        <v>8</v>
      </c>
      <c r="Q2">
        <f>[2]!LB2KG(2003)</f>
        <v>908.54477599999996</v>
      </c>
      <c r="S2">
        <v>0</v>
      </c>
      <c r="T2" s="4">
        <v>0</v>
      </c>
      <c r="U2" s="4"/>
      <c r="V2" s="4">
        <v>1961</v>
      </c>
      <c r="W2" s="4" t="s">
        <v>60</v>
      </c>
      <c r="X2" s="4" t="s">
        <v>103</v>
      </c>
    </row>
    <row r="3" spans="1:24" x14ac:dyDescent="0.25">
      <c r="A3" t="s">
        <v>59</v>
      </c>
      <c r="B3" t="s">
        <v>57</v>
      </c>
      <c r="C3" t="s">
        <v>23</v>
      </c>
      <c r="D3">
        <f>[2]!IN2M(101.61)</f>
        <v>2.5808939999999998</v>
      </c>
      <c r="E3">
        <f>[2]!IN2M(45.49)</f>
        <v>1.155446</v>
      </c>
      <c r="F3">
        <f>[1]!LBF2KN(165000)</f>
        <v>733.95630000000006</v>
      </c>
      <c r="G3">
        <f>Table1[[#This Row],[Thrust (SL)]]*1.1</f>
        <v>807.35193000000015</v>
      </c>
      <c r="H3">
        <v>155</v>
      </c>
      <c r="I3">
        <v>262.57</v>
      </c>
      <c r="J3">
        <v>292</v>
      </c>
      <c r="L3" t="s">
        <v>102</v>
      </c>
      <c r="M3" t="s">
        <v>51</v>
      </c>
      <c r="N3" t="s">
        <v>52</v>
      </c>
      <c r="O3" t="s">
        <v>49</v>
      </c>
      <c r="P3">
        <v>8</v>
      </c>
      <c r="Q3">
        <f>[2]!LB2KG(2003+140)</f>
        <v>972.04765599999996</v>
      </c>
      <c r="S3">
        <v>8</v>
      </c>
      <c r="T3" s="4" t="s">
        <v>48</v>
      </c>
      <c r="U3" s="4"/>
      <c r="V3" s="4">
        <v>1961</v>
      </c>
      <c r="W3" s="4" t="s">
        <v>60</v>
      </c>
      <c r="X3" s="4" t="s">
        <v>103</v>
      </c>
    </row>
    <row r="4" spans="1:24" x14ac:dyDescent="0.25">
      <c r="A4" t="s">
        <v>61</v>
      </c>
      <c r="B4" t="s">
        <v>57</v>
      </c>
      <c r="C4" t="s">
        <v>29</v>
      </c>
      <c r="D4">
        <f>[2]!IN2M(101.61)</f>
        <v>2.5808939999999998</v>
      </c>
      <c r="E4">
        <f>[2]!IN2M(45.49)</f>
        <v>1.155446</v>
      </c>
      <c r="F4">
        <f>[1]!LBF2KN(188000)</f>
        <v>836.26535999999999</v>
      </c>
      <c r="G4">
        <f>Table1[[#This Row],[Thrust (SL)]]*1.1</f>
        <v>919.89189600000009</v>
      </c>
      <c r="H4">
        <v>155</v>
      </c>
      <c r="I4">
        <v>262.57</v>
      </c>
      <c r="J4">
        <v>292</v>
      </c>
      <c r="L4" t="s">
        <v>102</v>
      </c>
      <c r="M4" t="s">
        <v>51</v>
      </c>
      <c r="N4" t="s">
        <v>52</v>
      </c>
      <c r="O4" t="s">
        <v>49</v>
      </c>
      <c r="P4">
        <v>8</v>
      </c>
      <c r="Q4">
        <f>[2]!LB2KG(2003)</f>
        <v>908.54477599999996</v>
      </c>
      <c r="S4">
        <v>0</v>
      </c>
      <c r="T4" s="4">
        <v>0</v>
      </c>
      <c r="U4" s="4"/>
      <c r="V4" s="4">
        <v>1964</v>
      </c>
      <c r="W4" s="4" t="s">
        <v>63</v>
      </c>
      <c r="X4" s="4" t="s">
        <v>103</v>
      </c>
    </row>
    <row r="5" spans="1:24" x14ac:dyDescent="0.25">
      <c r="A5" t="s">
        <v>62</v>
      </c>
      <c r="B5" t="s">
        <v>57</v>
      </c>
      <c r="C5" t="s">
        <v>29</v>
      </c>
      <c r="D5">
        <f>[2]!IN2M(101.61)</f>
        <v>2.5808939999999998</v>
      </c>
      <c r="E5">
        <f>[2]!IN2M(45.49)</f>
        <v>1.155446</v>
      </c>
      <c r="F5">
        <f>[1]!LBF2KN(188000)</f>
        <v>836.26535999999999</v>
      </c>
      <c r="G5">
        <f>Table1[[#This Row],[Thrust (SL)]]*1.1</f>
        <v>919.89189600000009</v>
      </c>
      <c r="H5">
        <v>155</v>
      </c>
      <c r="I5">
        <v>262.57</v>
      </c>
      <c r="J5">
        <v>292</v>
      </c>
      <c r="L5" t="s">
        <v>102</v>
      </c>
      <c r="M5" t="s">
        <v>51</v>
      </c>
      <c r="N5" t="s">
        <v>52</v>
      </c>
      <c r="O5" t="s">
        <v>49</v>
      </c>
      <c r="P5">
        <v>8</v>
      </c>
      <c r="Q5">
        <f>[2]!LB2KG(2003+140)</f>
        <v>972.04765599999996</v>
      </c>
      <c r="S5">
        <v>8</v>
      </c>
      <c r="T5" s="4" t="s">
        <v>48</v>
      </c>
      <c r="U5" s="4"/>
      <c r="V5" s="4">
        <v>1964</v>
      </c>
      <c r="W5" s="4" t="s">
        <v>63</v>
      </c>
      <c r="X5" s="4" t="s">
        <v>103</v>
      </c>
    </row>
    <row r="6" spans="1:24" x14ac:dyDescent="0.25">
      <c r="A6" t="s">
        <v>53</v>
      </c>
      <c r="B6" t="s">
        <v>10</v>
      </c>
      <c r="C6" t="s">
        <v>2</v>
      </c>
      <c r="D6">
        <f>[2]!IN2M(101.61)</f>
        <v>2.5808939999999998</v>
      </c>
      <c r="E6">
        <f>[2]!IN2M(45.49)</f>
        <v>1.155446</v>
      </c>
      <c r="F6">
        <v>889.64400000000001</v>
      </c>
      <c r="G6">
        <f>Table1[[#This Row],[Thrust (SL)]]*1.1</f>
        <v>978.60840000000007</v>
      </c>
      <c r="H6">
        <v>155</v>
      </c>
      <c r="I6">
        <v>262.57</v>
      </c>
      <c r="J6">
        <v>292</v>
      </c>
      <c r="L6" t="s">
        <v>102</v>
      </c>
      <c r="M6" t="s">
        <v>51</v>
      </c>
      <c r="N6" t="s">
        <v>52</v>
      </c>
      <c r="O6" t="s">
        <v>49</v>
      </c>
      <c r="P6">
        <v>8</v>
      </c>
      <c r="Q6">
        <f>[2]!LB2KG(2003)</f>
        <v>908.54477599999996</v>
      </c>
      <c r="S6">
        <v>0</v>
      </c>
      <c r="T6" s="4">
        <v>0</v>
      </c>
      <c r="U6" s="4"/>
      <c r="V6" s="4">
        <v>1966</v>
      </c>
      <c r="W6" s="4" t="s">
        <v>64</v>
      </c>
      <c r="X6" s="4" t="s">
        <v>103</v>
      </c>
    </row>
    <row r="7" spans="1:24" x14ac:dyDescent="0.25">
      <c r="A7" t="s">
        <v>54</v>
      </c>
      <c r="B7" t="s">
        <v>10</v>
      </c>
      <c r="C7" t="s">
        <v>2</v>
      </c>
      <c r="D7">
        <f>[2]!IN2M(101.61)</f>
        <v>2.5808939999999998</v>
      </c>
      <c r="E7">
        <f>[2]!IN2M(45.49)</f>
        <v>1.155446</v>
      </c>
      <c r="F7">
        <v>889.64400000000001</v>
      </c>
      <c r="G7">
        <f>Table1[[#This Row],[Thrust (SL)]]*1.1</f>
        <v>978.60840000000007</v>
      </c>
      <c r="H7">
        <v>155</v>
      </c>
      <c r="I7">
        <v>262.57</v>
      </c>
      <c r="J7">
        <v>292</v>
      </c>
      <c r="L7" t="s">
        <v>102</v>
      </c>
      <c r="M7" t="s">
        <v>51</v>
      </c>
      <c r="N7" t="s">
        <v>52</v>
      </c>
      <c r="O7" t="s">
        <v>49</v>
      </c>
      <c r="P7">
        <v>8</v>
      </c>
      <c r="Q7">
        <f>[2]!LB2KG(2003+140)</f>
        <v>972.04765599999996</v>
      </c>
      <c r="S7">
        <v>8</v>
      </c>
      <c r="T7" s="4" t="s">
        <v>48</v>
      </c>
      <c r="U7" s="4"/>
      <c r="V7" s="4">
        <v>1966</v>
      </c>
      <c r="W7" s="4" t="s">
        <v>64</v>
      </c>
      <c r="X7" s="4" t="s">
        <v>103</v>
      </c>
    </row>
    <row r="8" spans="1:24" x14ac:dyDescent="0.25">
      <c r="A8" t="s">
        <v>55</v>
      </c>
      <c r="B8" t="s">
        <v>10</v>
      </c>
      <c r="C8" t="s">
        <v>2</v>
      </c>
      <c r="D8">
        <f>[2]!IN2M(101.61)</f>
        <v>2.5808939999999998</v>
      </c>
      <c r="E8">
        <f>[2]!IN2M(45.49)</f>
        <v>1.155446</v>
      </c>
      <c r="F8">
        <f>[1]!LBF2KN(205000)</f>
        <v>911.88510000000008</v>
      </c>
      <c r="G8">
        <f>[1]!LBF2KN(228800)</f>
        <v>1017.752736</v>
      </c>
      <c r="H8">
        <v>155</v>
      </c>
      <c r="I8">
        <v>262.57</v>
      </c>
      <c r="J8">
        <v>292</v>
      </c>
      <c r="K8">
        <f>[2]!LB2KG(6346.72/8)</f>
        <v>359.85267728000002</v>
      </c>
      <c r="L8" t="s">
        <v>102</v>
      </c>
      <c r="M8" t="s">
        <v>51</v>
      </c>
      <c r="N8" t="s">
        <v>52</v>
      </c>
      <c r="O8" t="s">
        <v>49</v>
      </c>
      <c r="P8">
        <v>8</v>
      </c>
      <c r="Q8">
        <f>[2]!LB2KG(2003)</f>
        <v>908.54477599999996</v>
      </c>
      <c r="R8">
        <v>702</v>
      </c>
      <c r="S8">
        <v>0</v>
      </c>
      <c r="T8" s="4">
        <v>0</v>
      </c>
      <c r="U8" s="4" t="s">
        <v>67</v>
      </c>
      <c r="V8" s="4">
        <v>1973</v>
      </c>
      <c r="W8" s="4" t="s">
        <v>65</v>
      </c>
      <c r="X8" s="4" t="s">
        <v>103</v>
      </c>
    </row>
    <row r="9" spans="1:24" x14ac:dyDescent="0.25">
      <c r="A9" t="s">
        <v>56</v>
      </c>
      <c r="B9" t="s">
        <v>10</v>
      </c>
      <c r="C9" t="s">
        <v>2</v>
      </c>
      <c r="D9">
        <f>[2]!IN2M(101.61)</f>
        <v>2.5808939999999998</v>
      </c>
      <c r="E9">
        <f>[2]!IN2M(45.49)</f>
        <v>1.155446</v>
      </c>
      <c r="F9">
        <f>[1]!LBF2KN(205000)</f>
        <v>911.88510000000008</v>
      </c>
      <c r="G9">
        <f>[1]!LBF2KN(228800)</f>
        <v>1017.752736</v>
      </c>
      <c r="H9">
        <v>155</v>
      </c>
      <c r="I9">
        <v>262.57</v>
      </c>
      <c r="J9">
        <v>292</v>
      </c>
      <c r="K9">
        <f>[2]!LB2KG(6346.72/8)</f>
        <v>359.85267728000002</v>
      </c>
      <c r="L9" t="s">
        <v>102</v>
      </c>
      <c r="M9" t="s">
        <v>51</v>
      </c>
      <c r="N9" t="s">
        <v>52</v>
      </c>
      <c r="O9" t="s">
        <v>49</v>
      </c>
      <c r="P9">
        <v>8</v>
      </c>
      <c r="Q9">
        <f>[2]!LB2KG(2003+140)</f>
        <v>972.04765599999996</v>
      </c>
      <c r="R9">
        <v>702</v>
      </c>
      <c r="S9">
        <v>8</v>
      </c>
      <c r="T9" s="4" t="s">
        <v>48</v>
      </c>
      <c r="U9" s="4" t="s">
        <v>67</v>
      </c>
      <c r="V9" s="4">
        <v>1973</v>
      </c>
      <c r="W9" s="4" t="s">
        <v>65</v>
      </c>
      <c r="X9" s="4" t="s">
        <v>103</v>
      </c>
    </row>
    <row r="10" spans="1:24" x14ac:dyDescent="0.25">
      <c r="A10" t="s">
        <v>41</v>
      </c>
      <c r="B10" t="s">
        <v>6</v>
      </c>
      <c r="C10" t="s">
        <v>7</v>
      </c>
      <c r="D10">
        <f>[2]!IN2M(133)</f>
        <v>3.3781999999999996</v>
      </c>
      <c r="E10">
        <f>[2]!IN2M(80.75)</f>
        <v>2.05105</v>
      </c>
      <c r="F10">
        <f>[1]!LBF2KN(156400)</f>
        <v>695.70160799999996</v>
      </c>
      <c r="G10">
        <f>[1]!LBF2KN(225000)</f>
        <v>1000.8495</v>
      </c>
      <c r="H10">
        <v>500</v>
      </c>
      <c r="I10">
        <v>293.81</v>
      </c>
      <c r="J10">
        <v>424.2</v>
      </c>
      <c r="M10" t="s">
        <v>68</v>
      </c>
      <c r="N10" t="s">
        <v>52</v>
      </c>
      <c r="O10">
        <v>5.5</v>
      </c>
      <c r="P10">
        <v>27.5</v>
      </c>
      <c r="Q10">
        <f>[2]!LB2KG(3665)</f>
        <v>1662.4146800000001</v>
      </c>
      <c r="R10">
        <v>770</v>
      </c>
      <c r="S10">
        <v>7</v>
      </c>
      <c r="T10" s="4" t="s">
        <v>70</v>
      </c>
      <c r="U10" s="4" t="s">
        <v>72</v>
      </c>
      <c r="V10" s="4"/>
      <c r="W10" s="4"/>
      <c r="X10" s="4" t="s">
        <v>103</v>
      </c>
    </row>
    <row r="11" spans="1:24" x14ac:dyDescent="0.25">
      <c r="A11" t="s">
        <v>42</v>
      </c>
      <c r="B11" t="s">
        <v>6</v>
      </c>
      <c r="C11" t="s">
        <v>7</v>
      </c>
      <c r="D11">
        <f>[2]!IN2M(133)</f>
        <v>3.3781999999999996</v>
      </c>
      <c r="E11">
        <f>[2]!IN2M(80.75)</f>
        <v>2.05105</v>
      </c>
      <c r="F11">
        <f>[1]!LBF2KN(156400)</f>
        <v>695.70160799999996</v>
      </c>
      <c r="G11">
        <f>[1]!LBF2KN(195000)</f>
        <v>867.40290000000005</v>
      </c>
      <c r="H11">
        <v>500</v>
      </c>
      <c r="I11">
        <v>293.81</v>
      </c>
      <c r="J11">
        <v>428.2</v>
      </c>
      <c r="M11" t="s">
        <v>68</v>
      </c>
      <c r="N11" t="s">
        <v>52</v>
      </c>
      <c r="O11">
        <v>4.8</v>
      </c>
      <c r="P11">
        <v>27.5</v>
      </c>
      <c r="Q11">
        <f>[2]!LB2KG(3665)</f>
        <v>1662.4146800000001</v>
      </c>
      <c r="R11">
        <v>660</v>
      </c>
      <c r="S11">
        <v>7</v>
      </c>
      <c r="T11" s="4" t="s">
        <v>70</v>
      </c>
      <c r="U11" s="4" t="s">
        <v>72</v>
      </c>
      <c r="V11" s="4"/>
      <c r="W11" s="4"/>
      <c r="X11" s="4" t="s">
        <v>103</v>
      </c>
    </row>
    <row r="12" spans="1:24" x14ac:dyDescent="0.25">
      <c r="A12" t="s">
        <v>295</v>
      </c>
      <c r="B12" t="s">
        <v>6</v>
      </c>
      <c r="C12" t="s">
        <v>2</v>
      </c>
      <c r="D12">
        <v>3.3782000000000001</v>
      </c>
      <c r="E12">
        <v>2.05105</v>
      </c>
      <c r="G12">
        <f>[1]!LBF2KN(200000)</f>
        <v>889.64400000000001</v>
      </c>
      <c r="H12">
        <v>500</v>
      </c>
      <c r="J12">
        <v>418</v>
      </c>
      <c r="L12">
        <v>0.77</v>
      </c>
      <c r="M12" t="s">
        <v>68</v>
      </c>
      <c r="N12" t="s">
        <v>52</v>
      </c>
      <c r="O12">
        <v>5</v>
      </c>
      <c r="P12">
        <v>27.5</v>
      </c>
      <c r="Q12">
        <f>[1]!LB2KG(3609)</f>
        <v>1637.013528</v>
      </c>
      <c r="T12" s="4"/>
      <c r="U12" s="4"/>
      <c r="V12" s="4"/>
      <c r="W12" s="4"/>
      <c r="X12" s="4"/>
    </row>
    <row r="13" spans="1:24" x14ac:dyDescent="0.25">
      <c r="A13" t="s">
        <v>297</v>
      </c>
      <c r="B13" t="s">
        <v>296</v>
      </c>
      <c r="C13" t="s">
        <v>7</v>
      </c>
      <c r="D13">
        <v>3.3782000000000001</v>
      </c>
      <c r="E13">
        <v>2.05105</v>
      </c>
      <c r="G13">
        <f>[1]!LBF2KN(225000)</f>
        <v>1000.8495</v>
      </c>
      <c r="H13">
        <v>500</v>
      </c>
      <c r="J13">
        <v>419</v>
      </c>
      <c r="L13">
        <v>0.77</v>
      </c>
      <c r="M13" t="s">
        <v>68</v>
      </c>
      <c r="N13" t="s">
        <v>52</v>
      </c>
      <c r="O13">
        <v>5.5</v>
      </c>
      <c r="P13">
        <v>27.5</v>
      </c>
      <c r="Q13">
        <f>[1]!LB2KG(3609)</f>
        <v>1637.013528</v>
      </c>
      <c r="S13">
        <v>7</v>
      </c>
      <c r="T13" s="4" t="s">
        <v>70</v>
      </c>
      <c r="U13" s="4" t="s">
        <v>72</v>
      </c>
      <c r="V13" s="4"/>
      <c r="W13" s="4"/>
      <c r="X13" s="4"/>
    </row>
    <row r="14" spans="1:24" x14ac:dyDescent="0.25">
      <c r="A14" t="s">
        <v>295</v>
      </c>
      <c r="B14" t="s">
        <v>296</v>
      </c>
      <c r="C14" t="s">
        <v>7</v>
      </c>
      <c r="D14">
        <v>3.3782000000000001</v>
      </c>
      <c r="E14">
        <v>2.05105</v>
      </c>
      <c r="G14">
        <f>[1]!LBF2KN(230000)</f>
        <v>1023.0906</v>
      </c>
      <c r="H14">
        <v>500</v>
      </c>
      <c r="J14">
        <v>421</v>
      </c>
      <c r="L14">
        <v>0.77</v>
      </c>
      <c r="M14" t="s">
        <v>68</v>
      </c>
      <c r="N14" t="s">
        <v>52</v>
      </c>
      <c r="O14">
        <v>5.5</v>
      </c>
      <c r="P14">
        <v>27.5</v>
      </c>
      <c r="Q14">
        <f>[1]!LB2KG(3621)</f>
        <v>1642.4566319999999</v>
      </c>
      <c r="S14">
        <v>7</v>
      </c>
      <c r="T14" s="4" t="s">
        <v>70</v>
      </c>
      <c r="U14" s="4" t="s">
        <v>72</v>
      </c>
      <c r="V14" s="4"/>
      <c r="W14" s="4"/>
      <c r="X14" s="4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"/>
  <sheetViews>
    <sheetView workbookViewId="0">
      <selection activeCell="A5" sqref="A5"/>
    </sheetView>
  </sheetViews>
  <sheetFormatPr defaultRowHeight="15" x14ac:dyDescent="0.25"/>
  <sheetData>
    <row r="1" spans="1:1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</row>
    <row r="2" spans="1:15" x14ac:dyDescent="0.25">
      <c r="A2" t="s">
        <v>43</v>
      </c>
      <c r="B2" t="s">
        <v>68</v>
      </c>
      <c r="C2">
        <v>2.016</v>
      </c>
      <c r="D2" t="e">
        <f ca="1">[1]!F2C(-435)</f>
        <v>#NAME?</v>
      </c>
      <c r="E2" t="e">
        <f ca="1">[1]!F2C(-422.9)</f>
        <v>#NAME?</v>
      </c>
      <c r="F2" t="e">
        <f ca="1">[1]!F2C(399.96)</f>
        <v>#NAME?</v>
      </c>
      <c r="G2">
        <v>-188.16</v>
      </c>
      <c r="H2" t="e">
        <f ca="1">[1]!LBG2KGL(0.594)</f>
        <v>#NAME?</v>
      </c>
      <c r="I2" t="s">
        <v>97</v>
      </c>
      <c r="J2" t="s">
        <v>98</v>
      </c>
      <c r="K2" t="s">
        <v>99</v>
      </c>
    </row>
    <row r="3" spans="1:15" x14ac:dyDescent="0.25">
      <c r="A3" t="s">
        <v>81</v>
      </c>
      <c r="B3" t="s">
        <v>82</v>
      </c>
      <c r="C3">
        <v>92.016000000000005</v>
      </c>
      <c r="D3" t="e">
        <f ca="1">[1]!F2C(11.84)</f>
        <v>#NAME?</v>
      </c>
      <c r="E3" t="e">
        <f ca="1">[1]!F2C(70.07)</f>
        <v>#NAME?</v>
      </c>
      <c r="F3" t="e">
        <f ca="1">[1]!F2C(316.8)</f>
        <v>#NAME?</v>
      </c>
      <c r="G3">
        <v>1469</v>
      </c>
      <c r="H3" t="e">
        <f ca="1">[1]!LBG2KGL(11.94)</f>
        <v>#NAME?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</row>
    <row r="4" spans="1:15" x14ac:dyDescent="0.25">
      <c r="A4" t="s">
        <v>83</v>
      </c>
      <c r="B4" t="s">
        <v>84</v>
      </c>
      <c r="C4">
        <v>46.075000000000003</v>
      </c>
      <c r="D4" t="e">
        <f ca="1">[1]!F2C(-62.5)</f>
        <v>#NAME?</v>
      </c>
      <c r="E4" t="e">
        <f ca="1">[1]!F2C(192.5)</f>
        <v>#NAME?</v>
      </c>
      <c r="F4" t="e">
        <f ca="1">[1]!F2C(593.6)</f>
        <v>#NAME?</v>
      </c>
      <c r="G4">
        <v>1195.0999999999999</v>
      </c>
      <c r="H4" t="e">
        <f ca="1">[1]!LBG2KGL(7.29)</f>
        <v>#NAME?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Launch Vehicles</vt:lpstr>
      <vt:lpstr>Stages</vt:lpstr>
      <vt:lpstr>Egnines</vt:lpstr>
      <vt:lpstr>Propellant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Dan Paplaczyk</cp:lastModifiedBy>
  <dcterms:created xsi:type="dcterms:W3CDTF">2019-02-20T23:32:22Z</dcterms:created>
  <dcterms:modified xsi:type="dcterms:W3CDTF">2019-02-28T23:05:57Z</dcterms:modified>
</cp:coreProperties>
</file>