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p\Google Drive\Rocket Reference\Git\rr-tools\"/>
    </mc:Choice>
  </mc:AlternateContent>
  <xr:revisionPtr revIDLastSave="0" documentId="13_ncr:1_{3E19CB71-F095-43BD-B033-897268B4042A}" xr6:coauthVersionLast="40" xr6:coauthVersionMax="40" xr10:uidLastSave="{00000000-0000-0000-0000-000000000000}"/>
  <bookViews>
    <workbookView xWindow="-28920" yWindow="-120" windowWidth="29040" windowHeight="15840" activeTab="2" xr2:uid="{FE57B926-6979-4B19-9728-9D2B46A5BF0C}"/>
  </bookViews>
  <sheets>
    <sheet name="Launch Vehicles" sheetId="1" r:id="rId1"/>
    <sheet name="Stages" sheetId="3" r:id="rId2"/>
    <sheet name="Egnines" sheetId="2" r:id="rId3"/>
    <sheet name="Propellant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Q5" i="2"/>
  <c r="Q3" i="2"/>
  <c r="Q9" i="2"/>
  <c r="Q7" i="2"/>
  <c r="E9" i="2" l="1"/>
  <c r="E2" i="2"/>
  <c r="E3" i="2"/>
  <c r="E4" i="2"/>
  <c r="E5" i="2"/>
  <c r="E8" i="2"/>
  <c r="E7" i="2"/>
  <c r="E6" i="2"/>
  <c r="G9" i="2"/>
  <c r="G8" i="2"/>
  <c r="H4" i="4"/>
  <c r="F4" i="4"/>
  <c r="E4" i="4"/>
  <c r="D4" i="4"/>
  <c r="H3" i="4"/>
  <c r="F3" i="4"/>
  <c r="E3" i="4"/>
  <c r="D3" i="4"/>
  <c r="H2" i="4"/>
  <c r="F2" i="4"/>
  <c r="E2" i="4"/>
  <c r="D2" i="4"/>
  <c r="G11" i="2"/>
  <c r="F11" i="2"/>
  <c r="F10" i="2"/>
  <c r="Q11" i="2"/>
  <c r="Q10" i="2"/>
  <c r="D11" i="2"/>
  <c r="E11" i="2"/>
  <c r="D10" i="2"/>
  <c r="E10" i="2"/>
  <c r="H2" i="3"/>
  <c r="G2" i="3"/>
  <c r="C2" i="3"/>
  <c r="G10" i="2"/>
  <c r="F5" i="2"/>
  <c r="F4" i="2"/>
  <c r="D5" i="2"/>
  <c r="Q4" i="2"/>
  <c r="D4" i="2"/>
  <c r="F3" i="2"/>
  <c r="F2" i="2"/>
  <c r="F9" i="2"/>
  <c r="F8" i="2"/>
  <c r="D3" i="2"/>
  <c r="Q2" i="2"/>
  <c r="D2" i="2"/>
  <c r="D8" i="2"/>
  <c r="D9" i="2"/>
  <c r="D7" i="2"/>
  <c r="D6" i="2"/>
  <c r="K8" i="2"/>
  <c r="K9" i="2"/>
  <c r="Q8" i="2"/>
  <c r="Q6" i="2"/>
  <c r="H3" i="3"/>
  <c r="G3" i="3"/>
  <c r="C3" i="3"/>
  <c r="C4" i="1"/>
  <c r="C3" i="1"/>
  <c r="E4" i="1"/>
  <c r="D4" i="1"/>
  <c r="E3" i="1"/>
  <c r="D3" i="1"/>
  <c r="E2" i="1"/>
  <c r="D2" i="1"/>
  <c r="E3" i="3"/>
  <c r="D3" i="3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</author>
  </authors>
  <commentList>
    <comment ref="C2" authorId="0" shapeId="0" xr:uid="{3EFEA1D7-B587-49E5-9D72-0A88DDE80BFD}">
      <text>
        <r>
          <rPr>
            <b/>
            <sz val="9"/>
            <color indexed="81"/>
            <rFont val="Tahoma"/>
            <charset val="1"/>
          </rPr>
          <t>Top of 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</author>
  </authors>
  <commentList>
    <comment ref="C2" authorId="0" shapeId="0" xr:uid="{09F365D0-416A-446B-8176-0292924FF192}">
      <text>
        <r>
          <rPr>
            <b/>
            <sz val="9"/>
            <color indexed="81"/>
            <rFont val="Tahoma"/>
            <charset val="1"/>
          </rPr>
          <t>Includes the Interstage</t>
        </r>
      </text>
    </comment>
    <comment ref="E3" authorId="0" shapeId="0" xr:uid="{12A98E50-BFBF-403D-B49C-C69F62733F45}">
      <text>
        <r>
          <rPr>
            <b/>
            <sz val="9"/>
            <color indexed="81"/>
            <rFont val="Tahoma"/>
            <charset val="1"/>
          </rPr>
          <t>Fin Edge to Fin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Pap</author>
  </authors>
  <commentList>
    <comment ref="Q3" authorId="0" shapeId="0" xr:uid="{4002218C-C073-4E60-AF24-A6E0F78B0C96}">
      <text>
        <r>
          <rPr>
            <b/>
            <sz val="9"/>
            <color indexed="81"/>
            <rFont val="Tahoma"/>
            <charset val="1"/>
          </rPr>
          <t>Factor Gimbal Mass to be 0.0007 lb per lbf of thrust from 1972 study NASA-CR-129135 Aerosapce Synthesis Program</t>
        </r>
      </text>
    </comment>
    <comment ref="Q5" authorId="0" shapeId="0" xr:uid="{83B97D9A-6062-4970-A1AC-EDF24ACC6A68}">
      <text>
        <r>
          <rPr>
            <b/>
            <sz val="9"/>
            <color indexed="81"/>
            <rFont val="Tahoma"/>
            <charset val="1"/>
          </rPr>
          <t>Factor Gimbal Mass to be 0.0007 lb per lbf of thrust from 1972 study NASA-CR-129135 Aerosapce Synthesis Program</t>
        </r>
      </text>
    </comment>
    <comment ref="Q7" authorId="0" shapeId="0" xr:uid="{8938443B-9B8C-4970-BE33-75ADBCA2E30B}">
      <text>
        <r>
          <rPr>
            <b/>
            <sz val="9"/>
            <color indexed="81"/>
            <rFont val="Tahoma"/>
            <charset val="1"/>
          </rPr>
          <t>Factor Gimbal Mass to be 0.0007 lb per lbf of thrust from 1972 study NASA-CR-129135 Aerosapce Synthesis Program</t>
        </r>
      </text>
    </comment>
    <comment ref="Q9" authorId="0" shapeId="0" xr:uid="{6D6AE3B7-F28D-4AE3-AC03-FCFD6544E04B}">
      <text>
        <r>
          <rPr>
            <b/>
            <sz val="9"/>
            <color indexed="81"/>
            <rFont val="Tahoma"/>
            <charset val="1"/>
          </rPr>
          <t>Factor Gimbal Mass to be 0.0007 lb per lbf of thrust from 1972 study NASA-CR-129135 Aerosapce Synthesis Program</t>
        </r>
      </text>
    </comment>
  </commentList>
</comments>
</file>

<file path=xl/sharedStrings.xml><?xml version="1.0" encoding="utf-8"?>
<sst xmlns="http://schemas.openxmlformats.org/spreadsheetml/2006/main" count="193" uniqueCount="105">
  <si>
    <t>LV</t>
  </si>
  <si>
    <t>Country</t>
  </si>
  <si>
    <t>Saturn IB</t>
  </si>
  <si>
    <t>USA</t>
  </si>
  <si>
    <t>Height</t>
  </si>
  <si>
    <t>Stage</t>
  </si>
  <si>
    <t>S-IVB</t>
  </si>
  <si>
    <t>Saturn IB, Saturn V</t>
  </si>
  <si>
    <t>Diameter</t>
  </si>
  <si>
    <t>Span</t>
  </si>
  <si>
    <t>S-IB</t>
  </si>
  <si>
    <t>Notes</t>
  </si>
  <si>
    <t>9 Clustered Propellant Tanks</t>
  </si>
  <si>
    <t>Engines</t>
  </si>
  <si>
    <t>4 x H-1C, 4 x H-1D</t>
  </si>
  <si>
    <t>1 x J-2</t>
  </si>
  <si>
    <t>Dry Mass</t>
  </si>
  <si>
    <t>Liftoff Mass</t>
  </si>
  <si>
    <t>Saturn V Skylab</t>
  </si>
  <si>
    <t>Saturn V Apollo</t>
  </si>
  <si>
    <t>Source</t>
  </si>
  <si>
    <t>MSFC-MAN-206 Skylab Saturn IB Flight Manual (1972)</t>
  </si>
  <si>
    <t>Launches</t>
  </si>
  <si>
    <t>Saturn I Block I</t>
  </si>
  <si>
    <t>4 Launches all R&amp;D Flights SA-1 through SA-4</t>
  </si>
  <si>
    <t>6 Launches all R&amp;D Flights SA-5 through SA-10</t>
  </si>
  <si>
    <t>Stages</t>
  </si>
  <si>
    <t>S-I, Dummy Upper Stages</t>
  </si>
  <si>
    <t>S-I, S-IV</t>
  </si>
  <si>
    <t>Saturn I Block II</t>
  </si>
  <si>
    <t>S-IB, S-IVB</t>
  </si>
  <si>
    <t>SA-201-SA-203 R&amp;D Flgihts, SA-206-SA-209 Skylab</t>
  </si>
  <si>
    <t>Engine</t>
  </si>
  <si>
    <t>Thrust (SL)</t>
  </si>
  <si>
    <t>Burn Time</t>
  </si>
  <si>
    <t>ISP (SL)</t>
  </si>
  <si>
    <t>Throttle</t>
  </si>
  <si>
    <t>ISP (Vac)</t>
  </si>
  <si>
    <t>Thrust (Vac)</t>
  </si>
  <si>
    <t>Mixture Ratio</t>
  </si>
  <si>
    <t>Fuel</t>
  </si>
  <si>
    <t>Oxidizer</t>
  </si>
  <si>
    <t>J-2 (High)</t>
  </si>
  <si>
    <t>J-2 (Low)</t>
  </si>
  <si>
    <t>Liquid Hydrogen</t>
  </si>
  <si>
    <t>Length</t>
  </si>
  <si>
    <t>Mass</t>
  </si>
  <si>
    <t>Gimbal Range</t>
  </si>
  <si>
    <t>Gimbal Rate</t>
  </si>
  <si>
    <t>15 deg/s</t>
  </si>
  <si>
    <t>2.23 +/- 2%</t>
  </si>
  <si>
    <t>Chamber Pressure (psia)</t>
  </si>
  <si>
    <t>RP-1</t>
  </si>
  <si>
    <t>LOX</t>
  </si>
  <si>
    <t>H-1C 200k</t>
  </si>
  <si>
    <t>H-1D 200k</t>
  </si>
  <si>
    <t>H-1C 205k</t>
  </si>
  <si>
    <t>H-1D 205k</t>
  </si>
  <si>
    <t>S-I</t>
  </si>
  <si>
    <t>H-1C 165k</t>
  </si>
  <si>
    <t>H-1D 165k</t>
  </si>
  <si>
    <t>SA-1 through SA-4</t>
  </si>
  <si>
    <t>H-1C 188k</t>
  </si>
  <si>
    <t>H-1D 188k</t>
  </si>
  <si>
    <t>SA-5 to SA-10</t>
  </si>
  <si>
    <t>SA-201 to SA-205</t>
  </si>
  <si>
    <t>SA-206+</t>
  </si>
  <si>
    <t>Ignition Timing</t>
  </si>
  <si>
    <t>1.25 s</t>
  </si>
  <si>
    <t>LH2</t>
  </si>
  <si>
    <t>Expansion Ratio</t>
  </si>
  <si>
    <t>8 deg/s</t>
  </si>
  <si>
    <t>Flow Rate</t>
  </si>
  <si>
    <t>3.6 s</t>
  </si>
  <si>
    <t>Name</t>
  </si>
  <si>
    <t>Abbreviation</t>
  </si>
  <si>
    <t>Molecular Weight</t>
  </si>
  <si>
    <t>Freezing Point</t>
  </si>
  <si>
    <t>Boiling Point</t>
  </si>
  <si>
    <t>Critical Temperature</t>
  </si>
  <si>
    <t>Critical Pressure</t>
  </si>
  <si>
    <t>Liquid Density (kg/L)</t>
  </si>
  <si>
    <t>Nitrogen Tetroxide</t>
  </si>
  <si>
    <t>N2O4 (NTO)</t>
  </si>
  <si>
    <t>Monomethyl Hydrazine</t>
  </si>
  <si>
    <t>MMH</t>
  </si>
  <si>
    <t>Not sensityive to impact or friction</t>
  </si>
  <si>
    <t>Extremely miscible in water</t>
  </si>
  <si>
    <t>Will react with CO2 and O2 in air</t>
  </si>
  <si>
    <t>Very Caustic</t>
  </si>
  <si>
    <t>Very Hygroscopic</t>
  </si>
  <si>
    <t>Ignites spontaneously if exposed to a large surface</t>
  </si>
  <si>
    <t>Freezing has no effects on the chemical properties</t>
  </si>
  <si>
    <t>Corrosive, oxidizing agent</t>
  </si>
  <si>
    <t>Hypergolic with UDMH, Hydrazine, Aniline, Furfuryl Alcohol</t>
  </si>
  <si>
    <t>Not sensitive to heat, mechanical shock or detonation</t>
  </si>
  <si>
    <t>Nonfalmmable with Air</t>
  </si>
  <si>
    <t>Very stable at room temperature</t>
  </si>
  <si>
    <t>Stable against mechanical shock in pure form</t>
  </si>
  <si>
    <t>Impact sensitive if contaminated with liquid air or oxygen ice</t>
  </si>
  <si>
    <t>Highly flammable when mixed with air, low ignition temperature</t>
  </si>
  <si>
    <t>First Flight</t>
  </si>
  <si>
    <t>Sources</t>
  </si>
  <si>
    <t>No</t>
  </si>
  <si>
    <t>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</si>
</sst>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p/Dropbox/Excel/Personal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F2C"/>
      <definedName name="FT2M"/>
      <definedName name="IN2M"/>
      <definedName name="LB2KG"/>
      <definedName name="LBF2KN"/>
      <definedName name="LBG2KGL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E7155B-DD50-49EF-9783-96A6FF6E0B10}" name="Table1" displayName="Table1" ref="A1:X11" totalsRowShown="0">
  <autoFilter ref="A1:X11" xr:uid="{C9100D55-8A70-4C51-BFF2-B7467913C5C8}"/>
  <sortState ref="A2:W11">
    <sortCondition ref="V1:V11"/>
  </sortState>
  <tableColumns count="24">
    <tableColumn id="1" xr3:uid="{8B27E4C4-A249-44DF-91F8-4687AC807918}" name="Engine"/>
    <tableColumn id="2" xr3:uid="{65B30C93-87C4-4677-9D85-74C1E54C7CA5}" name="Stage"/>
    <tableColumn id="3" xr3:uid="{2AB1FD26-0CA6-48CC-908E-4DDF8C5E5FF7}" name="LV"/>
    <tableColumn id="4" xr3:uid="{74E49A97-AAC8-416B-AEFC-5CE674012505}" name="Length">
      <calculatedColumnFormula>[1]!IN2M(101.61)</calculatedColumnFormula>
    </tableColumn>
    <tableColumn id="5" xr3:uid="{80584F54-066B-4E64-85EA-7EAD4A2DFB16}" name="Diameter">
      <calculatedColumnFormula>[1]!IN2M(45.49)</calculatedColumnFormula>
    </tableColumn>
    <tableColumn id="6" xr3:uid="{A5D0FADB-D590-4E09-9A23-773BB3EC74F9}" name="Thrust (SL)"/>
    <tableColumn id="7" xr3:uid="{58BC5EAF-56F9-45F9-884D-41882ADC2D1E}" name="Thrust (Vac)"/>
    <tableColumn id="8" xr3:uid="{D59CC748-6F69-4313-AA73-C4859C74DB8D}" name="Burn Time"/>
    <tableColumn id="9" xr3:uid="{542F191B-5F62-4E71-9434-BD73790A0645}" name="ISP (SL)"/>
    <tableColumn id="10" xr3:uid="{C781136E-0DC2-44A7-B0D1-BA2E3D9695E4}" name="ISP (Vac)"/>
    <tableColumn id="11" xr3:uid="{43803DB1-46AA-4326-AF6C-7083D1503525}" name="Flow Rate"/>
    <tableColumn id="12" xr3:uid="{29449D02-9443-4988-9F7E-6320CCBBE68D}" name="Throttle"/>
    <tableColumn id="13" xr3:uid="{24DA6064-1337-4EC5-9C4D-27C139324CDA}" name="Fuel"/>
    <tableColumn id="14" xr3:uid="{24A259A3-25C0-4766-9779-07AE7597B503}" name="Oxidizer"/>
    <tableColumn id="15" xr3:uid="{7BC30D63-97FC-401D-8809-B34EE4855CBB}" name="Mixture Ratio"/>
    <tableColumn id="16" xr3:uid="{D8843B4C-B4DA-479A-B175-957DA82CB580}" name="Expansion Ratio"/>
    <tableColumn id="17" xr3:uid="{3C428537-C620-4555-8296-9196FF5F2FD3}" name="Mass"/>
    <tableColumn id="18" xr3:uid="{AE3B56B4-9216-4B45-9F3F-A59E34A17CE8}" name="Chamber Pressure (psia)"/>
    <tableColumn id="19" xr3:uid="{A6BF9948-BC0A-4DC6-AFC0-E8CD60D12B38}" name="Gimbal Range"/>
    <tableColumn id="20" xr3:uid="{05EDBA73-90FD-41FA-A937-C816C901895D}" name="Gimbal Rate"/>
    <tableColumn id="21" xr3:uid="{DD7824AD-469B-4928-9708-217DF655FC78}" name="Ignition Timing"/>
    <tableColumn id="22" xr3:uid="{7FB4F309-165F-4479-A165-D095C4A165DB}" name="First Flight"/>
    <tableColumn id="23" xr3:uid="{256D2CC6-9AD0-4289-9AAA-C71058D33489}" name="Notes"/>
    <tableColumn id="24" xr3:uid="{CED17D85-4DE2-43B4-BD99-B341969FEFDA}" name="Source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E730-D19C-44A8-86E2-3EA4822F6F6D}">
  <sheetPr codeName="Sheet1"/>
  <dimension ref="A1:H6"/>
  <sheetViews>
    <sheetView workbookViewId="0">
      <selection activeCell="E2" sqref="E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16</v>
      </c>
      <c r="E1" t="s">
        <v>17</v>
      </c>
      <c r="F1" t="s">
        <v>26</v>
      </c>
      <c r="G1" t="s">
        <v>20</v>
      </c>
      <c r="H1" t="s">
        <v>22</v>
      </c>
    </row>
    <row r="2" spans="1:8" x14ac:dyDescent="0.25">
      <c r="A2" t="s">
        <v>2</v>
      </c>
      <c r="B2" t="s">
        <v>3</v>
      </c>
      <c r="C2">
        <f>[1]!IN2M(2681.859)</f>
        <v>68.119218599999996</v>
      </c>
      <c r="D2">
        <f>[1]!LB2KG(159000)</f>
        <v>72121.127999999997</v>
      </c>
      <c r="E2">
        <f>[1]!LB2KG(1296000)</f>
        <v>587855.23199999996</v>
      </c>
      <c r="F2" t="s">
        <v>30</v>
      </c>
      <c r="G2" t="s">
        <v>21</v>
      </c>
      <c r="H2" t="s">
        <v>31</v>
      </c>
    </row>
    <row r="3" spans="1:8" x14ac:dyDescent="0.25">
      <c r="A3" t="s">
        <v>18</v>
      </c>
      <c r="B3" t="s">
        <v>3</v>
      </c>
      <c r="C3">
        <f>[1]!FT2M(346)</f>
        <v>105.46080000000001</v>
      </c>
      <c r="D3">
        <f>[1]!LB2KG(585000)</f>
        <v>265351.32</v>
      </c>
      <c r="E3">
        <f>[1]!LB2KG(6221000)</f>
        <v>2821795.8319999999</v>
      </c>
      <c r="G3" t="s">
        <v>21</v>
      </c>
    </row>
    <row r="4" spans="1:8" x14ac:dyDescent="0.25">
      <c r="A4" t="s">
        <v>19</v>
      </c>
      <c r="B4" t="s">
        <v>3</v>
      </c>
      <c r="C4">
        <f>[1]!FT2M(365)</f>
        <v>111.25200000000001</v>
      </c>
      <c r="D4">
        <f>[1]!LB2KG(553000)</f>
        <v>250836.37599999999</v>
      </c>
      <c r="E4">
        <f>[1]!LB2KG(6495000)</f>
        <v>2946080.04</v>
      </c>
      <c r="G4" t="s">
        <v>21</v>
      </c>
    </row>
    <row r="5" spans="1:8" x14ac:dyDescent="0.25">
      <c r="A5" t="s">
        <v>23</v>
      </c>
      <c r="B5" t="s">
        <v>3</v>
      </c>
      <c r="F5" t="s">
        <v>27</v>
      </c>
      <c r="G5" t="s">
        <v>21</v>
      </c>
      <c r="H5" t="s">
        <v>24</v>
      </c>
    </row>
    <row r="6" spans="1:8" x14ac:dyDescent="0.25">
      <c r="A6" t="s">
        <v>29</v>
      </c>
      <c r="B6" t="s">
        <v>3</v>
      </c>
      <c r="F6" t="s">
        <v>28</v>
      </c>
      <c r="G6" t="s">
        <v>21</v>
      </c>
      <c r="H6" t="s">
        <v>25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2B88-E467-4BB2-8BCC-6CD25ED1A980}">
  <sheetPr codeName="Sheet3"/>
  <dimension ref="A1:O3"/>
  <sheetViews>
    <sheetView workbookViewId="0">
      <selection activeCell="H3" sqref="H3"/>
    </sheetView>
  </sheetViews>
  <sheetFormatPr defaultRowHeight="15" x14ac:dyDescent="0.25"/>
  <sheetData>
    <row r="1" spans="1:15" x14ac:dyDescent="0.25">
      <c r="A1" t="s">
        <v>5</v>
      </c>
      <c r="B1" t="s">
        <v>0</v>
      </c>
      <c r="C1" t="s">
        <v>45</v>
      </c>
      <c r="D1" t="s">
        <v>8</v>
      </c>
      <c r="E1" t="s">
        <v>9</v>
      </c>
      <c r="F1" t="s">
        <v>13</v>
      </c>
      <c r="G1" t="s">
        <v>16</v>
      </c>
      <c r="H1" t="s">
        <v>17</v>
      </c>
      <c r="O1" t="s">
        <v>11</v>
      </c>
    </row>
    <row r="2" spans="1:15" x14ac:dyDescent="0.25">
      <c r="A2" t="s">
        <v>6</v>
      </c>
      <c r="B2" t="s">
        <v>7</v>
      </c>
      <c r="C2">
        <f>[1]!FT2M(59.1)</f>
        <v>18.013680000000001</v>
      </c>
      <c r="D2">
        <v>6.61416</v>
      </c>
      <c r="E2">
        <v>6.61416</v>
      </c>
      <c r="F2" t="s">
        <v>15</v>
      </c>
      <c r="G2">
        <f>[1]!LB2KG(22150)</f>
        <v>10047.0628</v>
      </c>
      <c r="H2">
        <f>[1]!LB2KG(256800)</f>
        <v>116482.4256</v>
      </c>
    </row>
    <row r="3" spans="1:15" x14ac:dyDescent="0.25">
      <c r="A3" t="s">
        <v>10</v>
      </c>
      <c r="B3" t="s">
        <v>2</v>
      </c>
      <c r="C3">
        <f>[1]!FT2M(80.2)</f>
        <v>24.444960000000002</v>
      </c>
      <c r="D3">
        <f>[1]!FT2M(22.8)</f>
        <v>6.9494400000000009</v>
      </c>
      <c r="E3">
        <f>[1]!FT2M(40.7)</f>
        <v>12.405360000000002</v>
      </c>
      <c r="F3" t="s">
        <v>14</v>
      </c>
      <c r="G3">
        <f>[1]!LB2KG(84521)</f>
        <v>38338.049432</v>
      </c>
      <c r="H3">
        <f>[1]!LB2KG(997127)</f>
        <v>452288.83018400002</v>
      </c>
      <c r="O3" t="s">
        <v>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3747-4999-4BFF-A8DE-9192B0B803DA}">
  <sheetPr codeName="Sheet2"/>
  <dimension ref="A1:X11"/>
  <sheetViews>
    <sheetView tabSelected="1" workbookViewId="0"/>
  </sheetViews>
  <sheetFormatPr defaultRowHeight="15" x14ac:dyDescent="0.25"/>
  <cols>
    <col min="1" max="1" width="9.7109375" bestFit="1" customWidth="1"/>
    <col min="5" max="5" width="11.42578125" customWidth="1"/>
    <col min="6" max="6" width="12.42578125" customWidth="1"/>
    <col min="7" max="7" width="13.7109375" customWidth="1"/>
    <col min="8" max="8" width="12.140625" customWidth="1"/>
    <col min="9" max="9" width="9.5703125" customWidth="1"/>
    <col min="10" max="10" width="10.85546875" customWidth="1"/>
    <col min="11" max="11" width="11.85546875" customWidth="1"/>
    <col min="12" max="12" width="10.28515625" customWidth="1"/>
    <col min="14" max="14" width="10.5703125" customWidth="1"/>
    <col min="15" max="15" width="15.28515625" customWidth="1"/>
    <col min="16" max="16" width="17.140625" customWidth="1"/>
    <col min="18" max="18" width="9.42578125" customWidth="1"/>
    <col min="19" max="19" width="15.42578125" customWidth="1"/>
    <col min="20" max="20" width="14" customWidth="1"/>
    <col min="21" max="21" width="16.42578125" customWidth="1"/>
    <col min="22" max="22" width="12.42578125" customWidth="1"/>
  </cols>
  <sheetData>
    <row r="1" spans="1:24" x14ac:dyDescent="0.25">
      <c r="A1" t="s">
        <v>32</v>
      </c>
      <c r="B1" t="s">
        <v>5</v>
      </c>
      <c r="C1" t="s">
        <v>0</v>
      </c>
      <c r="D1" t="s">
        <v>45</v>
      </c>
      <c r="E1" t="s">
        <v>8</v>
      </c>
      <c r="F1" t="s">
        <v>33</v>
      </c>
      <c r="G1" t="s">
        <v>38</v>
      </c>
      <c r="H1" t="s">
        <v>34</v>
      </c>
      <c r="I1" t="s">
        <v>35</v>
      </c>
      <c r="J1" t="s">
        <v>37</v>
      </c>
      <c r="K1" t="s">
        <v>72</v>
      </c>
      <c r="L1" t="s">
        <v>36</v>
      </c>
      <c r="M1" t="s">
        <v>40</v>
      </c>
      <c r="N1" t="s">
        <v>41</v>
      </c>
      <c r="O1" t="s">
        <v>39</v>
      </c>
      <c r="P1" t="s">
        <v>70</v>
      </c>
      <c r="Q1" t="s">
        <v>46</v>
      </c>
      <c r="R1" s="1" t="s">
        <v>51</v>
      </c>
      <c r="S1" t="s">
        <v>47</v>
      </c>
      <c r="T1" t="s">
        <v>48</v>
      </c>
      <c r="U1" t="s">
        <v>67</v>
      </c>
      <c r="V1" t="s">
        <v>101</v>
      </c>
      <c r="W1" t="s">
        <v>11</v>
      </c>
      <c r="X1" t="s">
        <v>102</v>
      </c>
    </row>
    <row r="2" spans="1:24" x14ac:dyDescent="0.25">
      <c r="A2" t="s">
        <v>59</v>
      </c>
      <c r="B2" t="s">
        <v>58</v>
      </c>
      <c r="C2" t="s">
        <v>23</v>
      </c>
      <c r="D2">
        <f>[1]!IN2M(101.61)</f>
        <v>2.5808939999999998</v>
      </c>
      <c r="E2">
        <f>[1]!IN2M(45.49)</f>
        <v>1.155446</v>
      </c>
      <c r="F2">
        <f>[1]!LBF2KN(165000)</f>
        <v>733.95630000000006</v>
      </c>
      <c r="G2">
        <f>Table1[[#This Row],[Thrust (SL)]]*1.1</f>
        <v>807.35193000000015</v>
      </c>
      <c r="H2">
        <v>155</v>
      </c>
      <c r="I2">
        <v>262.57</v>
      </c>
      <c r="J2">
        <v>292</v>
      </c>
      <c r="L2" t="s">
        <v>103</v>
      </c>
      <c r="M2" t="s">
        <v>52</v>
      </c>
      <c r="N2" t="s">
        <v>53</v>
      </c>
      <c r="O2" t="s">
        <v>50</v>
      </c>
      <c r="P2">
        <v>8</v>
      </c>
      <c r="Q2">
        <f>[1]!LB2KG(2003)</f>
        <v>908.54477599999996</v>
      </c>
      <c r="S2">
        <v>0</v>
      </c>
      <c r="T2">
        <v>0</v>
      </c>
      <c r="V2">
        <v>1961</v>
      </c>
      <c r="W2" t="s">
        <v>61</v>
      </c>
      <c r="X2" t="s">
        <v>104</v>
      </c>
    </row>
    <row r="3" spans="1:24" x14ac:dyDescent="0.25">
      <c r="A3" t="s">
        <v>60</v>
      </c>
      <c r="B3" t="s">
        <v>58</v>
      </c>
      <c r="C3" t="s">
        <v>23</v>
      </c>
      <c r="D3">
        <f>[1]!IN2M(101.61)</f>
        <v>2.5808939999999998</v>
      </c>
      <c r="E3">
        <f>[1]!IN2M(45.49)</f>
        <v>1.155446</v>
      </c>
      <c r="F3">
        <f>[1]!LBF2KN(165000)</f>
        <v>733.95630000000006</v>
      </c>
      <c r="G3">
        <f>Table1[[#This Row],[Thrust (SL)]]*1.1</f>
        <v>807.35193000000015</v>
      </c>
      <c r="H3">
        <v>155</v>
      </c>
      <c r="I3">
        <v>262.57</v>
      </c>
      <c r="J3">
        <v>292</v>
      </c>
      <c r="L3" t="s">
        <v>103</v>
      </c>
      <c r="M3" t="s">
        <v>52</v>
      </c>
      <c r="N3" t="s">
        <v>53</v>
      </c>
      <c r="O3" t="s">
        <v>50</v>
      </c>
      <c r="P3">
        <v>8</v>
      </c>
      <c r="Q3">
        <f>[1]!LB2KG(2003+140)</f>
        <v>972.04765599999996</v>
      </c>
      <c r="S3">
        <v>8</v>
      </c>
      <c r="T3" t="s">
        <v>49</v>
      </c>
      <c r="V3">
        <v>1961</v>
      </c>
      <c r="W3" t="s">
        <v>61</v>
      </c>
      <c r="X3" t="s">
        <v>104</v>
      </c>
    </row>
    <row r="4" spans="1:24" x14ac:dyDescent="0.25">
      <c r="A4" t="s">
        <v>62</v>
      </c>
      <c r="B4" t="s">
        <v>58</v>
      </c>
      <c r="C4" t="s">
        <v>29</v>
      </c>
      <c r="D4">
        <f>[1]!IN2M(101.61)</f>
        <v>2.5808939999999998</v>
      </c>
      <c r="E4">
        <f>[1]!IN2M(45.49)</f>
        <v>1.155446</v>
      </c>
      <c r="F4">
        <f>[1]!LBF2KN(188000)</f>
        <v>836.26535999999999</v>
      </c>
      <c r="G4">
        <f>Table1[[#This Row],[Thrust (SL)]]*1.1</f>
        <v>919.89189600000009</v>
      </c>
      <c r="H4">
        <v>155</v>
      </c>
      <c r="I4">
        <v>262.57</v>
      </c>
      <c r="J4">
        <v>292</v>
      </c>
      <c r="L4" t="s">
        <v>103</v>
      </c>
      <c r="M4" t="s">
        <v>52</v>
      </c>
      <c r="N4" t="s">
        <v>53</v>
      </c>
      <c r="O4" t="s">
        <v>50</v>
      </c>
      <c r="P4">
        <v>8</v>
      </c>
      <c r="Q4">
        <f>[1]!LB2KG(2003)</f>
        <v>908.54477599999996</v>
      </c>
      <c r="S4">
        <v>0</v>
      </c>
      <c r="T4">
        <v>0</v>
      </c>
      <c r="V4">
        <v>1964</v>
      </c>
      <c r="W4" t="s">
        <v>64</v>
      </c>
      <c r="X4" t="s">
        <v>104</v>
      </c>
    </row>
    <row r="5" spans="1:24" x14ac:dyDescent="0.25">
      <c r="A5" t="s">
        <v>63</v>
      </c>
      <c r="B5" t="s">
        <v>58</v>
      </c>
      <c r="C5" t="s">
        <v>29</v>
      </c>
      <c r="D5">
        <f>[1]!IN2M(101.61)</f>
        <v>2.5808939999999998</v>
      </c>
      <c r="E5">
        <f>[1]!IN2M(45.49)</f>
        <v>1.155446</v>
      </c>
      <c r="F5">
        <f>[1]!LBF2KN(188000)</f>
        <v>836.26535999999999</v>
      </c>
      <c r="G5">
        <f>Table1[[#This Row],[Thrust (SL)]]*1.1</f>
        <v>919.89189600000009</v>
      </c>
      <c r="H5">
        <v>155</v>
      </c>
      <c r="I5">
        <v>262.57</v>
      </c>
      <c r="J5">
        <v>292</v>
      </c>
      <c r="L5" t="s">
        <v>103</v>
      </c>
      <c r="M5" t="s">
        <v>52</v>
      </c>
      <c r="N5" t="s">
        <v>53</v>
      </c>
      <c r="O5" t="s">
        <v>50</v>
      </c>
      <c r="P5">
        <v>8</v>
      </c>
      <c r="Q5">
        <f>[1]!LB2KG(2003+140)</f>
        <v>972.04765599999996</v>
      </c>
      <c r="S5">
        <v>8</v>
      </c>
      <c r="T5" t="s">
        <v>49</v>
      </c>
      <c r="V5">
        <v>1964</v>
      </c>
      <c r="W5" t="s">
        <v>64</v>
      </c>
      <c r="X5" t="s">
        <v>104</v>
      </c>
    </row>
    <row r="6" spans="1:24" x14ac:dyDescent="0.25">
      <c r="A6" t="s">
        <v>54</v>
      </c>
      <c r="B6" t="s">
        <v>10</v>
      </c>
      <c r="C6" t="s">
        <v>2</v>
      </c>
      <c r="D6">
        <f>[1]!IN2M(101.61)</f>
        <v>2.5808939999999998</v>
      </c>
      <c r="E6">
        <f>[1]!IN2M(45.49)</f>
        <v>1.155446</v>
      </c>
      <c r="F6">
        <v>889.64400000000001</v>
      </c>
      <c r="G6">
        <f>Table1[[#This Row],[Thrust (SL)]]*1.1</f>
        <v>978.60840000000007</v>
      </c>
      <c r="H6">
        <v>155</v>
      </c>
      <c r="I6">
        <v>262.57</v>
      </c>
      <c r="J6">
        <v>292</v>
      </c>
      <c r="L6" t="s">
        <v>103</v>
      </c>
      <c r="M6" t="s">
        <v>52</v>
      </c>
      <c r="N6" t="s">
        <v>53</v>
      </c>
      <c r="O6" t="s">
        <v>50</v>
      </c>
      <c r="P6">
        <v>8</v>
      </c>
      <c r="Q6">
        <f>[1]!LB2KG(2003)</f>
        <v>908.54477599999996</v>
      </c>
      <c r="S6">
        <v>0</v>
      </c>
      <c r="T6">
        <v>0</v>
      </c>
      <c r="V6">
        <v>1966</v>
      </c>
      <c r="W6" t="s">
        <v>65</v>
      </c>
      <c r="X6" t="s">
        <v>104</v>
      </c>
    </row>
    <row r="7" spans="1:24" x14ac:dyDescent="0.25">
      <c r="A7" t="s">
        <v>55</v>
      </c>
      <c r="B7" t="s">
        <v>10</v>
      </c>
      <c r="C7" t="s">
        <v>2</v>
      </c>
      <c r="D7">
        <f>[1]!IN2M(101.61)</f>
        <v>2.5808939999999998</v>
      </c>
      <c r="E7">
        <f>[1]!IN2M(45.49)</f>
        <v>1.155446</v>
      </c>
      <c r="F7">
        <v>889.64400000000001</v>
      </c>
      <c r="G7">
        <f>Table1[[#This Row],[Thrust (SL)]]*1.1</f>
        <v>978.60840000000007</v>
      </c>
      <c r="H7">
        <v>155</v>
      </c>
      <c r="I7">
        <v>262.57</v>
      </c>
      <c r="J7">
        <v>292</v>
      </c>
      <c r="L7" t="s">
        <v>103</v>
      </c>
      <c r="M7" t="s">
        <v>52</v>
      </c>
      <c r="N7" t="s">
        <v>53</v>
      </c>
      <c r="O7" t="s">
        <v>50</v>
      </c>
      <c r="P7">
        <v>8</v>
      </c>
      <c r="Q7">
        <f>[1]!LB2KG(2003+140)</f>
        <v>972.04765599999996</v>
      </c>
      <c r="S7">
        <v>8</v>
      </c>
      <c r="T7" t="s">
        <v>49</v>
      </c>
      <c r="V7">
        <v>1966</v>
      </c>
      <c r="W7" t="s">
        <v>65</v>
      </c>
      <c r="X7" t="s">
        <v>104</v>
      </c>
    </row>
    <row r="8" spans="1:24" x14ac:dyDescent="0.25">
      <c r="A8" t="s">
        <v>56</v>
      </c>
      <c r="B8" t="s">
        <v>10</v>
      </c>
      <c r="C8" t="s">
        <v>2</v>
      </c>
      <c r="D8">
        <f>[1]!IN2M(101.61)</f>
        <v>2.5808939999999998</v>
      </c>
      <c r="E8">
        <f>[1]!IN2M(45.49)</f>
        <v>1.155446</v>
      </c>
      <c r="F8">
        <f>[1]!LBF2KN(205000)</f>
        <v>911.88510000000008</v>
      </c>
      <c r="G8">
        <f>[1]!LBF2KN(228800)</f>
        <v>1017.752736</v>
      </c>
      <c r="H8">
        <v>155</v>
      </c>
      <c r="I8">
        <v>262.57</v>
      </c>
      <c r="J8">
        <v>292</v>
      </c>
      <c r="K8">
        <f>[1]!LB2KG(6346.72/8)</f>
        <v>359.85267728000002</v>
      </c>
      <c r="L8" t="s">
        <v>103</v>
      </c>
      <c r="M8" t="s">
        <v>52</v>
      </c>
      <c r="N8" t="s">
        <v>53</v>
      </c>
      <c r="O8" t="s">
        <v>50</v>
      </c>
      <c r="P8">
        <v>8</v>
      </c>
      <c r="Q8">
        <f>[1]!LB2KG(2003)</f>
        <v>908.54477599999996</v>
      </c>
      <c r="R8">
        <v>702</v>
      </c>
      <c r="S8">
        <v>0</v>
      </c>
      <c r="T8">
        <v>0</v>
      </c>
      <c r="U8" t="s">
        <v>68</v>
      </c>
      <c r="V8">
        <v>1973</v>
      </c>
      <c r="W8" t="s">
        <v>66</v>
      </c>
      <c r="X8" t="s">
        <v>104</v>
      </c>
    </row>
    <row r="9" spans="1:24" x14ac:dyDescent="0.25">
      <c r="A9" t="s">
        <v>57</v>
      </c>
      <c r="B9" t="s">
        <v>10</v>
      </c>
      <c r="C9" t="s">
        <v>2</v>
      </c>
      <c r="D9">
        <f>[1]!IN2M(101.61)</f>
        <v>2.5808939999999998</v>
      </c>
      <c r="E9">
        <f>[1]!IN2M(45.49)</f>
        <v>1.155446</v>
      </c>
      <c r="F9">
        <f>[1]!LBF2KN(205000)</f>
        <v>911.88510000000008</v>
      </c>
      <c r="G9">
        <f>[1]!LBF2KN(228800)</f>
        <v>1017.752736</v>
      </c>
      <c r="H9">
        <v>155</v>
      </c>
      <c r="I9">
        <v>262.57</v>
      </c>
      <c r="J9">
        <v>292</v>
      </c>
      <c r="K9">
        <f>[1]!LB2KG(6346.72/8)</f>
        <v>359.85267728000002</v>
      </c>
      <c r="L9" t="s">
        <v>103</v>
      </c>
      <c r="M9" t="s">
        <v>52</v>
      </c>
      <c r="N9" t="s">
        <v>53</v>
      </c>
      <c r="O9" t="s">
        <v>50</v>
      </c>
      <c r="P9">
        <v>8</v>
      </c>
      <c r="Q9">
        <f>[1]!LB2KG(2003+140)</f>
        <v>972.04765599999996</v>
      </c>
      <c r="R9">
        <v>702</v>
      </c>
      <c r="S9">
        <v>8</v>
      </c>
      <c r="T9" t="s">
        <v>49</v>
      </c>
      <c r="U9" t="s">
        <v>68</v>
      </c>
      <c r="V9">
        <v>1973</v>
      </c>
      <c r="W9" t="s">
        <v>66</v>
      </c>
      <c r="X9" t="s">
        <v>104</v>
      </c>
    </row>
    <row r="10" spans="1:24" x14ac:dyDescent="0.25">
      <c r="A10" t="s">
        <v>42</v>
      </c>
      <c r="B10" t="s">
        <v>6</v>
      </c>
      <c r="C10" t="s">
        <v>7</v>
      </c>
      <c r="D10">
        <f>[1]!IN2M(133)</f>
        <v>3.3781999999999996</v>
      </c>
      <c r="E10">
        <f>[1]!IN2M(80.75)</f>
        <v>2.05105</v>
      </c>
      <c r="F10">
        <f>[1]!LBF2KN(156400)</f>
        <v>695.70160799999996</v>
      </c>
      <c r="G10">
        <f>[1]!LBF2KN(225000)</f>
        <v>1000.8495</v>
      </c>
      <c r="H10">
        <v>450</v>
      </c>
      <c r="I10">
        <v>293.81</v>
      </c>
      <c r="J10">
        <v>424.2</v>
      </c>
      <c r="M10" t="s">
        <v>69</v>
      </c>
      <c r="N10" t="s">
        <v>53</v>
      </c>
      <c r="O10">
        <v>5.5</v>
      </c>
      <c r="P10">
        <v>27</v>
      </c>
      <c r="Q10">
        <f>[1]!LB2KG(3665)</f>
        <v>1662.4146800000001</v>
      </c>
      <c r="R10">
        <v>770</v>
      </c>
      <c r="S10">
        <v>7</v>
      </c>
      <c r="T10" t="s">
        <v>71</v>
      </c>
      <c r="U10" t="s">
        <v>73</v>
      </c>
      <c r="X10" t="s">
        <v>104</v>
      </c>
    </row>
    <row r="11" spans="1:24" x14ac:dyDescent="0.25">
      <c r="A11" t="s">
        <v>43</v>
      </c>
      <c r="B11" t="s">
        <v>6</v>
      </c>
      <c r="C11" t="s">
        <v>7</v>
      </c>
      <c r="D11">
        <f>[1]!IN2M(133)</f>
        <v>3.3781999999999996</v>
      </c>
      <c r="E11">
        <f>[1]!IN2M(80.75)</f>
        <v>2.05105</v>
      </c>
      <c r="F11">
        <f>[1]!LBF2KN(156400)</f>
        <v>695.70160799999996</v>
      </c>
      <c r="G11">
        <f>[1]!LBF2KN(195000)</f>
        <v>867.40290000000005</v>
      </c>
      <c r="H11">
        <v>450</v>
      </c>
      <c r="I11">
        <v>293.81</v>
      </c>
      <c r="J11">
        <v>428.2</v>
      </c>
      <c r="M11" t="s">
        <v>69</v>
      </c>
      <c r="N11" t="s">
        <v>53</v>
      </c>
      <c r="O11">
        <v>4.8</v>
      </c>
      <c r="P11">
        <v>27</v>
      </c>
      <c r="Q11">
        <f>[1]!LB2KG(3665)</f>
        <v>1662.4146800000001</v>
      </c>
      <c r="R11">
        <v>660</v>
      </c>
      <c r="S11">
        <v>7</v>
      </c>
      <c r="T11" t="s">
        <v>71</v>
      </c>
      <c r="U11" t="s">
        <v>73</v>
      </c>
      <c r="X11" t="s">
        <v>104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FCA2-FBFE-437C-BBEF-A2487BF7FDD1}">
  <sheetPr codeName="Sheet4"/>
  <dimension ref="A1:O4"/>
  <sheetViews>
    <sheetView workbookViewId="0">
      <selection activeCell="A5" sqref="A5"/>
    </sheetView>
  </sheetViews>
  <sheetFormatPr defaultRowHeight="15" x14ac:dyDescent="0.25"/>
  <sheetData>
    <row r="1" spans="1:1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11</v>
      </c>
    </row>
    <row r="2" spans="1:15" x14ac:dyDescent="0.25">
      <c r="A2" t="s">
        <v>44</v>
      </c>
      <c r="B2" t="s">
        <v>69</v>
      </c>
      <c r="C2">
        <v>2.016</v>
      </c>
      <c r="D2">
        <f>[1]!F2C(-435)</f>
        <v>-259.44444444444446</v>
      </c>
      <c r="E2">
        <f>[1]!F2C(-422.9)</f>
        <v>-252.7222222222222</v>
      </c>
      <c r="F2">
        <f>[1]!F2C(399.96)</f>
        <v>204.42222222222222</v>
      </c>
      <c r="G2">
        <v>-188.16</v>
      </c>
      <c r="H2">
        <f>[1]!LBG2KGL(0.594)</f>
        <v>7.1176643999999997E-2</v>
      </c>
      <c r="I2" t="s">
        <v>98</v>
      </c>
      <c r="J2" t="s">
        <v>99</v>
      </c>
      <c r="K2" t="s">
        <v>100</v>
      </c>
    </row>
    <row r="3" spans="1:15" x14ac:dyDescent="0.25">
      <c r="A3" t="s">
        <v>82</v>
      </c>
      <c r="B3" t="s">
        <v>83</v>
      </c>
      <c r="C3">
        <v>92.016000000000005</v>
      </c>
      <c r="D3">
        <f>[1]!F2C(11.84)</f>
        <v>-11.2</v>
      </c>
      <c r="E3">
        <f>[1]!F2C(70.07)</f>
        <v>21.149999999999995</v>
      </c>
      <c r="F3">
        <f>[1]!F2C(316.8)</f>
        <v>158.22222222222223</v>
      </c>
      <c r="G3">
        <v>1469</v>
      </c>
      <c r="H3">
        <f>[1]!LBG2KGL(11.94)</f>
        <v>1.43072244</v>
      </c>
      <c r="I3" t="s">
        <v>93</v>
      </c>
      <c r="J3" t="s">
        <v>94</v>
      </c>
      <c r="K3" t="s">
        <v>95</v>
      </c>
      <c r="L3" t="s">
        <v>96</v>
      </c>
      <c r="M3" t="s">
        <v>97</v>
      </c>
    </row>
    <row r="4" spans="1:15" x14ac:dyDescent="0.25">
      <c r="A4" t="s">
        <v>84</v>
      </c>
      <c r="B4" t="s">
        <v>85</v>
      </c>
      <c r="C4">
        <v>46.075000000000003</v>
      </c>
      <c r="D4">
        <f>[1]!F2C(-62.5)</f>
        <v>-52.5</v>
      </c>
      <c r="E4">
        <f>[1]!F2C(192.5)</f>
        <v>89.166666666666671</v>
      </c>
      <c r="F4">
        <f>[1]!F2C(593.6)</f>
        <v>312</v>
      </c>
      <c r="G4">
        <v>1195.0999999999999</v>
      </c>
      <c r="H4">
        <f>[1]!LBG2KGL(7.29)</f>
        <v>0.87353154</v>
      </c>
      <c r="I4" t="s">
        <v>86</v>
      </c>
      <c r="J4" t="s">
        <v>87</v>
      </c>
      <c r="K4" t="s">
        <v>88</v>
      </c>
      <c r="L4" t="s">
        <v>89</v>
      </c>
      <c r="M4" t="s">
        <v>90</v>
      </c>
      <c r="N4" t="s">
        <v>91</v>
      </c>
      <c r="O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Launch Vehicles</vt:lpstr>
      <vt:lpstr>Stages</vt:lpstr>
      <vt:lpstr>Egnines</vt:lpstr>
      <vt:lpstr>Propellant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Pap</cp:lastModifiedBy>
  <dcterms:created xsi:type="dcterms:W3CDTF">2019-02-20T23:32:22Z</dcterms:created>
  <dcterms:modified xsi:type="dcterms:W3CDTF">2019-02-21T13:55:15Z</dcterms:modified>
</cp:coreProperties>
</file>